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<sst xmlns="http://schemas.openxmlformats.org/spreadsheetml/2006/main" count="223" uniqueCount="173">
  <si>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</si>
  <si>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</si>
  <si>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</si>
  <si>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</si>
  <si>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</si>
  <si>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</si>
  <si>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</si>
  <si>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</si>
  <si>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</si>
  <si>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</si>
  <si>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</si>
  <si>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</si>
  <si>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</si>
  <si>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</si>
  <si>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</si>
  <si>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</si>
  <si>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</si>
  <si>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</si>
  <si>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</si>
  <si>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</si>
  <si>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</si>
  <si>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</si>
  <si>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</si>
  <si>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</si>
  <si>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</si>
  <si>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</si>
  <si>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</si>
  <si>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</si>
  <si>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</si>
  <si>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</si>
  <si>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</si>
  <si>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</si>
  <si>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</si>
  <si>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</si>
  <si>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</si>
  <si>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</si>
  <si>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</si>
  <si>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</si>
  <si>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</si>
  <si>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</si>
  <si>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</si>
  <si>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</si>
  <si>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</si>
  <si>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</si>
  <si>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</si>
  <si>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</si>
  <si>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</si>
  <si>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</si>
  <si>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</si>
  <si>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</si>
  <si>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</si>
  <si>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</si>
  <si>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</si>
  <si>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</si>
  <si>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</si>
  <si>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</si>
  <si>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</si>
  <si>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</si>
  <si>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</si>
  <si>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</si>
  <si>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</si>
  <si>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</si>
  <si>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</si>
  <si>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</si>
  <si>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</si>
  <si>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</si>
  <si>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</si>
  <si>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</si>
  <si>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</si>
  <si>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</si>
  <si>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</si>
  <si>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</si>
  <si>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</si>
  <si>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</si>
  <si>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</si>
  <si>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(KN/SU)</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</si>
  <si>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</si>
  <si>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</si>
  <si>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</si>
  <si>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</si>
  <si>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</si>
  <si>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</si>
  <si>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</si>
  <si>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</si>
  <si>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</si>
  <si>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</si>
  <si>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</si>
  <si>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</si>
  <si>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</si>
  <si>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</si>
  <si>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</si>
  <si>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</si>
  <si>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</si>
  <si>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</si>
  <si>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</si>
  <si>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</si>
  <si>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</si>
  <si>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</si>
  <si>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</si>
  <si>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</si>
  <si>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</si>
  <si>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</si>
  <si>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</si>
  <si>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</si>
  <si>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</si>
  <si>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</si>
  <si>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</si>
  <si>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</si>
  <si>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</si>
  <si>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</si>
  <si>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</si>
  <si>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</si>
  <si>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</si>
  <si>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</si>
  <si>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</si>
  <si>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</si>
  <si>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</si>
  <si>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</si>
  <si>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</si>
  <si>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</si>
  <si>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</si>
  <si>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</si>
  <si>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</si>
  <si>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</si>
  <si>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</si>
  <si>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</si>
  <si>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</si>
  <si>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</si>
  <si>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</si>
  <si>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</si>
  <si>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</si>
  <si>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</si>
  <si>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</si>
  <si>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</si>
  <si>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</si>
  <si>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</si>
  <si>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</si>
  <si>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</si>
  <si>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</si>
  <si>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</si>
  <si>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</si>
  <si>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</si>
  <si>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</si>
  <si>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</si>
  <si>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</si>
  <si>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</si>
  <si>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</si>
  <si>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</si>
  <si>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</si>
  <si>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</si>
  <si>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</si>
  <si>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</si>
  <si>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</si>
  <si>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</si>
  <si>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(bare grain,no fuse paper)</t>
  </si>
  <si>
    <t>Uninhibited Grain Kn Calculator</t>
  </si>
  <si>
    <t>This sample uses decimal inches, but millimeters works fine too.</t>
  </si>
  <si>
    <t>Tested on new bath scale test stand,</t>
  </si>
  <si>
    <t>Amp C, gain set at 47 ohms</t>
  </si>
  <si>
    <t>Single grain, uninhibited</t>
  </si>
  <si>
    <t>K46 - using this value</t>
  </si>
  <si>
    <t>12-22-07B</t>
  </si>
  <si>
    <t>End</t>
  </si>
  <si>
    <t xml:space="preserve">KN/Sucrose </t>
  </si>
  <si>
    <t>10 seconds/inch at 1 atm</t>
  </si>
  <si>
    <t>Jonathan Carter, steel, no erosion</t>
  </si>
  <si>
    <t>Data from 500lbf test stand, INA 125 amp C, gain set at 47 ohms, switch 4</t>
  </si>
  <si>
    <t>12/22/07B</t>
  </si>
  <si>
    <t>KNO3/Sucrose made with "98.5% pure" KNO3</t>
  </si>
  <si>
    <t>Single uninhibited grain, no fuse paper wrapper this time</t>
  </si>
  <si>
    <t>Fuse paper igniter</t>
  </si>
  <si>
    <t>Tested on 500lbf load cell stand</t>
  </si>
  <si>
    <t>38-240 casing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</si>
</sst>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casing, uninhibited grain, sucrose rcandy</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Data!$B$10:$B$202</c:f>
              <c:numCache>
                <c:ptCount val="193"/>
                <c:pt idx="0">
                  <c:v>-9.036737999998379E-06</c:v>
                </c:pt>
                <c:pt idx="1">
                  <c:v>-0.059990963262</c:v>
                </c:pt>
                <c:pt idx="2">
                  <c:v>0.089963853048</c:v>
                </c:pt>
                <c:pt idx="3">
                  <c:v>0.089963853048</c:v>
                </c:pt>
                <c:pt idx="4">
                  <c:v>-9.036737999998379E-06</c:v>
                </c:pt>
                <c:pt idx="5">
                  <c:v>-0.03</c:v>
                </c:pt>
                <c:pt idx="6">
                  <c:v>0.11995481631000002</c:v>
                </c:pt>
                <c:pt idx="7">
                  <c:v>0.11995481631000002</c:v>
                </c:pt>
                <c:pt idx="8">
                  <c:v>0.4198767332600001</c:v>
                </c:pt>
                <c:pt idx="9">
                  <c:v>0.56981926524</c:v>
                </c:pt>
                <c:pt idx="10">
                  <c:v>-0.17995481631000002</c:v>
                </c:pt>
                <c:pt idx="11">
                  <c:v>-0.149963853048</c:v>
                </c:pt>
                <c:pt idx="12">
                  <c:v>0.029981926524000002</c:v>
                </c:pt>
                <c:pt idx="13">
                  <c:v>-0.059990963262</c:v>
                </c:pt>
                <c:pt idx="14">
                  <c:v>0.029981926524000002</c:v>
                </c:pt>
                <c:pt idx="15">
                  <c:v>0.029981926524000002</c:v>
                </c:pt>
                <c:pt idx="16">
                  <c:v>-0.149963853048</c:v>
                </c:pt>
                <c:pt idx="17">
                  <c:v>-0.149963853048</c:v>
                </c:pt>
                <c:pt idx="18">
                  <c:v>0.029981926524000002</c:v>
                </c:pt>
                <c:pt idx="19">
                  <c:v>0.029981926524000002</c:v>
                </c:pt>
                <c:pt idx="20">
                  <c:v>-0.059990963262</c:v>
                </c:pt>
                <c:pt idx="21">
                  <c:v>-0.089981926524</c:v>
                </c:pt>
                <c:pt idx="22">
                  <c:v>0.029981926524000002</c:v>
                </c:pt>
                <c:pt idx="23">
                  <c:v>-9.036737999998379E-06</c:v>
                </c:pt>
                <c:pt idx="24">
                  <c:v>-0.089981926524</c:v>
                </c:pt>
                <c:pt idx="25">
                  <c:v>-0.03</c:v>
                </c:pt>
                <c:pt idx="26">
                  <c:v>0.14994577957200003</c:v>
                </c:pt>
                <c:pt idx="27">
                  <c:v>0.089963853048</c:v>
                </c:pt>
                <c:pt idx="28">
                  <c:v>-0.03</c:v>
                </c:pt>
                <c:pt idx="29">
                  <c:v>-9.036737999998379E-06</c:v>
                </c:pt>
                <c:pt idx="30">
                  <c:v>0.14994577957200003</c:v>
                </c:pt>
                <c:pt idx="31">
                  <c:v>0.179936742834</c:v>
                </c:pt>
                <c:pt idx="32">
                  <c:v>0.11995481631000002</c:v>
                </c:pt>
                <c:pt idx="33">
                  <c:v>0.179936742834</c:v>
                </c:pt>
                <c:pt idx="34">
                  <c:v>0.4198767332600001</c:v>
                </c:pt>
                <c:pt idx="35">
                  <c:v>0.50984716618</c:v>
                </c:pt>
                <c:pt idx="36">
                  <c:v>0.50984716618</c:v>
                </c:pt>
                <c:pt idx="37">
                  <c:v>0.8097567988000001</c:v>
                </c:pt>
                <c:pt idx="38">
                  <c:v>2.6990867528000004</c:v>
                </c:pt>
                <c:pt idx="39">
                  <c:v>4.948593262399999</c:v>
                </c:pt>
                <c:pt idx="40">
                  <c:v>6.927844512</c:v>
                </c:pt>
                <c:pt idx="41">
                  <c:v>7.137906555000001</c:v>
                </c:pt>
                <c:pt idx="42">
                  <c:v>8.427515518400002</c:v>
                </c:pt>
                <c:pt idx="43">
                  <c:v>9.627203186200001</c:v>
                </c:pt>
                <c:pt idx="44">
                  <c:v>10.376793002800001</c:v>
                </c:pt>
                <c:pt idx="45">
                  <c:v>10.766697637000002</c:v>
                </c:pt>
                <c:pt idx="46">
                  <c:v>11.456585609800001</c:v>
                </c:pt>
                <c:pt idx="47">
                  <c:v>11.876464009200001</c:v>
                </c:pt>
                <c:pt idx="48">
                  <c:v>11.876464009200001</c:v>
                </c:pt>
                <c:pt idx="49">
                  <c:v>11.876464009200001</c:v>
                </c:pt>
                <c:pt idx="50">
                  <c:v>12.2363948782</c:v>
                </c:pt>
                <c:pt idx="51">
                  <c:v>12.4162374694</c:v>
                </c:pt>
                <c:pt idx="52">
                  <c:v>12.596325747200002</c:v>
                </c:pt>
                <c:pt idx="53">
                  <c:v>12.896063399200003</c:v>
                </c:pt>
                <c:pt idx="54">
                  <c:v>13.436082546000002</c:v>
                </c:pt>
                <c:pt idx="55">
                  <c:v>13.825741493600002</c:v>
                </c:pt>
                <c:pt idx="56">
                  <c:v>14.2156461278</c:v>
                </c:pt>
                <c:pt idx="57">
                  <c:v>14.7256915094</c:v>
                </c:pt>
                <c:pt idx="58">
                  <c:v>15.475281326000001</c:v>
                </c:pt>
                <c:pt idx="59">
                  <c:v>16.0153004728</c:v>
                </c:pt>
                <c:pt idx="60">
                  <c:v>16.5251001678</c:v>
                </c:pt>
                <c:pt idx="61">
                  <c:v>17.274935671</c:v>
                </c:pt>
                <c:pt idx="62">
                  <c:v>18.2645612958</c:v>
                </c:pt>
                <c:pt idx="63">
                  <c:v>19.7639866156</c:v>
                </c:pt>
                <c:pt idx="64">
                  <c:v>22.0134931252</c:v>
                </c:pt>
                <c:pt idx="65">
                  <c:v>25.882565702</c:v>
                </c:pt>
                <c:pt idx="66">
                  <c:v>32.329382086</c:v>
                </c:pt>
                <c:pt idx="67">
                  <c:v>40.547598856</c:v>
                </c:pt>
                <c:pt idx="68">
                  <c:v>50.414372712</c:v>
                </c:pt>
                <c:pt idx="69">
                  <c:v>55.423922486</c:v>
                </c:pt>
                <c:pt idx="70">
                  <c:v>58.033114178000005</c:v>
                </c:pt>
                <c:pt idx="71">
                  <c:v>59.443355262000004</c:v>
                </c:pt>
                <c:pt idx="72">
                  <c:v>62.082029346</c:v>
                </c:pt>
                <c:pt idx="73">
                  <c:v>63.73058643200001</c:v>
                </c:pt>
                <c:pt idx="74">
                  <c:v>64.900054648</c:v>
                </c:pt>
                <c:pt idx="75">
                  <c:v>66.21939169</c:v>
                </c:pt>
                <c:pt idx="76">
                  <c:v>67.720536816</c:v>
                </c:pt>
                <c:pt idx="77">
                  <c:v>68.170143294</c:v>
                </c:pt>
                <c:pt idx="78">
                  <c:v>69.06935625</c:v>
                </c:pt>
                <c:pt idx="79">
                  <c:v>69.039873858</c:v>
                </c:pt>
                <c:pt idx="80">
                  <c:v>69.18974268400001</c:v>
                </c:pt>
                <c:pt idx="81">
                  <c:v>68.44039855400001</c:v>
                </c:pt>
                <c:pt idx="82">
                  <c:v>68.349494512</c:v>
                </c:pt>
                <c:pt idx="83">
                  <c:v>68.44039855400001</c:v>
                </c:pt>
                <c:pt idx="84">
                  <c:v>68.79910099</c:v>
                </c:pt>
                <c:pt idx="85">
                  <c:v>66.789384602</c:v>
                </c:pt>
                <c:pt idx="86">
                  <c:v>70.23882446600001</c:v>
                </c:pt>
                <c:pt idx="87">
                  <c:v>71.017650988</c:v>
                </c:pt>
                <c:pt idx="88">
                  <c:v>70.14792042399999</c:v>
                </c:pt>
                <c:pt idx="89">
                  <c:v>69.848182772</c:v>
                </c:pt>
                <c:pt idx="90">
                  <c:v>69.759735596</c:v>
                </c:pt>
                <c:pt idx="91">
                  <c:v>68.828583382</c:v>
                </c:pt>
                <c:pt idx="92">
                  <c:v>68.919487424</c:v>
                </c:pt>
                <c:pt idx="93">
                  <c:v>68.619749772</c:v>
                </c:pt>
                <c:pt idx="94">
                  <c:v>68.108721644</c:v>
                </c:pt>
                <c:pt idx="95">
                  <c:v>67.95885281800001</c:v>
                </c:pt>
                <c:pt idx="96">
                  <c:v>67.84092325</c:v>
                </c:pt>
                <c:pt idx="97">
                  <c:v>67.50924634</c:v>
                </c:pt>
                <c:pt idx="98">
                  <c:v>67.720536816</c:v>
                </c:pt>
                <c:pt idx="99">
                  <c:v>67.479763948</c:v>
                </c:pt>
                <c:pt idx="100">
                  <c:v>67.50924634</c:v>
                </c:pt>
                <c:pt idx="101">
                  <c:v>67.57066799</c:v>
                </c:pt>
                <c:pt idx="102">
                  <c:v>67.38885990600001</c:v>
                </c:pt>
                <c:pt idx="103">
                  <c:v>66.430682166</c:v>
                </c:pt>
                <c:pt idx="104">
                  <c:v>65.681338036</c:v>
                </c:pt>
                <c:pt idx="105">
                  <c:v>65.831206862</c:v>
                </c:pt>
                <c:pt idx="106">
                  <c:v>66.16042690600001</c:v>
                </c:pt>
                <c:pt idx="107">
                  <c:v>67.000675078</c:v>
                </c:pt>
                <c:pt idx="108">
                  <c:v>66.310295732</c:v>
                </c:pt>
                <c:pt idx="109">
                  <c:v>65.981075688</c:v>
                </c:pt>
                <c:pt idx="110">
                  <c:v>66.55106860000001</c:v>
                </c:pt>
                <c:pt idx="111">
                  <c:v>66.21939169</c:v>
                </c:pt>
                <c:pt idx="112">
                  <c:v>65.769785212</c:v>
                </c:pt>
                <c:pt idx="113">
                  <c:v>66.101462122</c:v>
                </c:pt>
                <c:pt idx="114">
                  <c:v>66.580550992</c:v>
                </c:pt>
                <c:pt idx="115">
                  <c:v>67.479763948</c:v>
                </c:pt>
                <c:pt idx="116">
                  <c:v>66.251330948</c:v>
                </c:pt>
                <c:pt idx="117">
                  <c:v>65.94913643000001</c:v>
                </c:pt>
                <c:pt idx="118">
                  <c:v>66.28081334</c:v>
                </c:pt>
                <c:pt idx="119">
                  <c:v>65.560951602</c:v>
                </c:pt>
                <c:pt idx="120">
                  <c:v>65.560951602</c:v>
                </c:pt>
                <c:pt idx="121">
                  <c:v>65.23173155799999</c:v>
                </c:pt>
                <c:pt idx="122">
                  <c:v>65.049923474</c:v>
                </c:pt>
                <c:pt idx="123">
                  <c:v>65.17030990800001</c:v>
                </c:pt>
                <c:pt idx="124">
                  <c:v>64.661738646</c:v>
                </c:pt>
                <c:pt idx="125">
                  <c:v>65.049923474</c:v>
                </c:pt>
                <c:pt idx="126">
                  <c:v>64.62979938800001</c:v>
                </c:pt>
                <c:pt idx="127">
                  <c:v>64.51186982</c:v>
                </c:pt>
                <c:pt idx="128">
                  <c:v>64.84108986400001</c:v>
                </c:pt>
                <c:pt idx="129">
                  <c:v>64.661738646</c:v>
                </c:pt>
                <c:pt idx="130">
                  <c:v>64.479930562</c:v>
                </c:pt>
                <c:pt idx="131">
                  <c:v>64.45044817</c:v>
                </c:pt>
                <c:pt idx="132">
                  <c:v>64.030324084</c:v>
                </c:pt>
                <c:pt idx="133">
                  <c:v>63.251497562</c:v>
                </c:pt>
                <c:pt idx="134">
                  <c:v>62.082029346</c:v>
                </c:pt>
                <c:pt idx="135">
                  <c:v>61.032947564</c:v>
                </c:pt>
                <c:pt idx="136">
                  <c:v>59.232064786</c:v>
                </c:pt>
                <c:pt idx="137">
                  <c:v>57.821823701999996</c:v>
                </c:pt>
                <c:pt idx="138">
                  <c:v>56.41403948400001</c:v>
                </c:pt>
                <c:pt idx="139">
                  <c:v>54.642639098</c:v>
                </c:pt>
                <c:pt idx="140">
                  <c:v>53.414206098</c:v>
                </c:pt>
                <c:pt idx="141">
                  <c:v>50.714110364</c:v>
                </c:pt>
                <c:pt idx="142">
                  <c:v>47.505443368</c:v>
                </c:pt>
                <c:pt idx="143">
                  <c:v>44.957673326</c:v>
                </c:pt>
                <c:pt idx="144">
                  <c:v>43.635879418</c:v>
                </c:pt>
                <c:pt idx="145">
                  <c:v>39.827737118</c:v>
                </c:pt>
                <c:pt idx="146">
                  <c:v>35.058960211999995</c:v>
                </c:pt>
                <c:pt idx="147">
                  <c:v>30.951080259999998</c:v>
                </c:pt>
                <c:pt idx="148">
                  <c:v>25.04231753</c:v>
                </c:pt>
                <c:pt idx="149">
                  <c:v>20.183865015</c:v>
                </c:pt>
                <c:pt idx="150">
                  <c:v>17.1248211584</c:v>
                </c:pt>
                <c:pt idx="151">
                  <c:v>14.095751067</c:v>
                </c:pt>
                <c:pt idx="152">
                  <c:v>10.077055350800002</c:v>
                </c:pt>
                <c:pt idx="153">
                  <c:v>7.9776633538</c:v>
                </c:pt>
                <c:pt idx="154">
                  <c:v>5.3684716618</c:v>
                </c:pt>
                <c:pt idx="155">
                  <c:v>4.0788626984</c:v>
                </c:pt>
                <c:pt idx="156">
                  <c:v>2.579191692</c:v>
                </c:pt>
                <c:pt idx="157">
                  <c:v>1.5895169298800003</c:v>
                </c:pt>
                <c:pt idx="158">
                  <c:v>1.1996368643400002</c:v>
                </c:pt>
                <c:pt idx="159">
                  <c:v>1.34957939632</c:v>
                </c:pt>
                <c:pt idx="160">
                  <c:v>0.98969766464</c:v>
                </c:pt>
                <c:pt idx="161">
                  <c:v>0.56981926524</c:v>
                </c:pt>
                <c:pt idx="162">
                  <c:v>0.4198767332600001</c:v>
                </c:pt>
                <c:pt idx="163">
                  <c:v>0.29990796648000007</c:v>
                </c:pt>
                <c:pt idx="164">
                  <c:v>0.23991129875999997</c:v>
                </c:pt>
                <c:pt idx="165">
                  <c:v>-0.03</c:v>
                </c:pt>
                <c:pt idx="166">
                  <c:v>0.029981926524000002</c:v>
                </c:pt>
                <c:pt idx="167">
                  <c:v>-9.036737999998379E-06</c:v>
                </c:pt>
                <c:pt idx="168">
                  <c:v>-0.17995481631000002</c:v>
                </c:pt>
                <c:pt idx="169">
                  <c:v>-0.20994577957200003</c:v>
                </c:pt>
                <c:pt idx="170">
                  <c:v>-0.11997288978600001</c:v>
                </c:pt>
                <c:pt idx="171">
                  <c:v>-0.11997288978600001</c:v>
                </c:pt>
                <c:pt idx="172">
                  <c:v>-0.239936742834</c:v>
                </c:pt>
                <c:pt idx="173">
                  <c:v>-0.239936742834</c:v>
                </c:pt>
                <c:pt idx="174">
                  <c:v>-0.149963853048</c:v>
                </c:pt>
                <c:pt idx="175">
                  <c:v>-0.17995481631000002</c:v>
                </c:pt>
                <c:pt idx="176">
                  <c:v>-0.239936742834</c:v>
                </c:pt>
                <c:pt idx="177">
                  <c:v>-0.26992770609600003</c:v>
                </c:pt>
                <c:pt idx="178">
                  <c:v>-0.11997288978600001</c:v>
                </c:pt>
                <c:pt idx="179">
                  <c:v>-0.149963853048</c:v>
                </c:pt>
                <c:pt idx="180">
                  <c:v>-0.26992770609600003</c:v>
                </c:pt>
                <c:pt idx="181">
                  <c:v>-0.26992770609600003</c:v>
                </c:pt>
                <c:pt idx="182">
                  <c:v>-0.149963853048</c:v>
                </c:pt>
                <c:pt idx="183">
                  <c:v>-0.149963853048</c:v>
                </c:pt>
                <c:pt idx="184">
                  <c:v>-0.26992770609600003</c:v>
                </c:pt>
                <c:pt idx="185">
                  <c:v>-0.29991129876</c:v>
                </c:pt>
                <c:pt idx="186">
                  <c:v>-0.149963853048</c:v>
                </c:pt>
                <c:pt idx="187">
                  <c:v>-0.17995481631000002</c:v>
                </c:pt>
                <c:pt idx="188">
                  <c:v>-0.239936742834</c:v>
                </c:pt>
                <c:pt idx="189">
                  <c:v>-0.239936742834</c:v>
                </c:pt>
                <c:pt idx="190">
                  <c:v>-0.089981926524</c:v>
                </c:pt>
                <c:pt idx="191">
                  <c:v>-0.11997288978600001</c:v>
                </c:pt>
                <c:pt idx="192">
                  <c:v>-0.239936742834</c:v>
                </c:pt>
              </c:numCache>
            </c:numRef>
          </c:val>
          <c:smooth val="0"/>
        </c:ser>
        <c:axId val="49919185"/>
        <c:axId val="46619482"/>
      </c:lineChart>
      <c:catAx>
        <c:axId val="49919185"/>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6619482"/>
        <c:crosses val="autoZero"/>
        <c:auto val="1"/>
        <c:lblOffset val="100"/>
        <c:noMultiLvlLbl val="0"/>
      </c:catAx>
      <c:valAx>
        <c:axId val="46619482"/>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9919185"/>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16922155"/>
        <c:axId val="18081668"/>
      </c:lineChart>
      <c:catAx>
        <c:axId val="16922155"/>
        <c:scaling>
          <c:orientation val="minMax"/>
        </c:scaling>
        <c:axPos val="b"/>
        <c:delete val="0"/>
        <c:numFmt formatCode="General" sourceLinked="1"/>
        <c:majorTickMark val="out"/>
        <c:minorTickMark val="none"/>
        <c:tickLblPos val="nextTo"/>
        <c:crossAx val="18081668"/>
        <c:crosses val="autoZero"/>
        <c:auto val="1"/>
        <c:lblOffset val="100"/>
        <c:noMultiLvlLbl val="0"/>
      </c:catAx>
      <c:valAx>
        <c:axId val="18081668"/>
        <c:scaling>
          <c:orientation val="minMax"/>
          <c:max val="50"/>
          <c:min val="0"/>
        </c:scaling>
        <c:axPos val="l"/>
        <c:majorGridlines/>
        <c:delete val="0"/>
        <c:numFmt formatCode="0.00" sourceLinked="0"/>
        <c:majorTickMark val="out"/>
        <c:minorTickMark val="none"/>
        <c:tickLblPos val="nextTo"/>
        <c:crossAx val="16922155"/>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Data!$B$10:$B$202</c:f>
              <c:numCache/>
            </c:numRef>
          </c:val>
          <c:smooth val="0"/>
        </c:ser>
        <c:marker val="1"/>
        <c:axId val="28517285"/>
        <c:axId val="55328974"/>
      </c:lineChart>
      <c:catAx>
        <c:axId val="28517285"/>
        <c:scaling>
          <c:orientation val="minMax"/>
        </c:scaling>
        <c:axPos val="b"/>
        <c:delete val="0"/>
        <c:numFmt formatCode="General" sourceLinked="1"/>
        <c:majorTickMark val="out"/>
        <c:minorTickMark val="none"/>
        <c:tickLblPos val="nextTo"/>
        <c:crossAx val="55328974"/>
        <c:crosses val="autoZero"/>
        <c:auto val="1"/>
        <c:lblOffset val="100"/>
        <c:noMultiLvlLbl val="0"/>
      </c:catAx>
      <c:valAx>
        <c:axId val="55328974"/>
        <c:scaling>
          <c:orientation val="minMax"/>
        </c:scaling>
        <c:axPos val="l"/>
        <c:majorGridlines/>
        <c:delete val="0"/>
        <c:numFmt formatCode="General" sourceLinked="1"/>
        <c:majorTickMark val="out"/>
        <c:minorTickMark val="none"/>
        <c:tickLblPos val="nextTo"/>
        <c:crossAx val="28517285"/>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365"/>
          <c:w val="0.835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numRef>
          </c:val>
          <c:smooth val="0"/>
        </c:ser>
        <c:axId val="28198719"/>
        <c:axId val="52461880"/>
      </c:lineChart>
      <c:catAx>
        <c:axId val="28198719"/>
        <c:scaling>
          <c:orientation val="minMax"/>
        </c:scaling>
        <c:axPos val="b"/>
        <c:delete val="0"/>
        <c:numFmt formatCode="General" sourceLinked="1"/>
        <c:majorTickMark val="out"/>
        <c:minorTickMark val="none"/>
        <c:tickLblPos val="nextTo"/>
        <c:crossAx val="52461880"/>
        <c:crosses val="autoZero"/>
        <c:auto val="1"/>
        <c:lblOffset val="100"/>
        <c:noMultiLvlLbl val="0"/>
      </c:catAx>
      <c:valAx>
        <c:axId val="52461880"/>
        <c:scaling>
          <c:orientation val="minMax"/>
          <c:max val="350"/>
          <c:min val="0"/>
        </c:scaling>
        <c:axPos val="l"/>
        <c:majorGridlines/>
        <c:delete val="0"/>
        <c:numFmt formatCode="0" sourceLinked="0"/>
        <c:majorTickMark val="out"/>
        <c:minorTickMark val="none"/>
        <c:tickLblPos val="nextTo"/>
        <c:crossAx val="28198719"/>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365"/>
          <c:w val="0.835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numRef>
          </c:val>
          <c:smooth val="0"/>
        </c:ser>
        <c:axId val="2394873"/>
        <c:axId val="21553858"/>
      </c:lineChart>
      <c:catAx>
        <c:axId val="2394873"/>
        <c:scaling>
          <c:orientation val="minMax"/>
        </c:scaling>
        <c:axPos val="b"/>
        <c:delete val="0"/>
        <c:numFmt formatCode="General" sourceLinked="1"/>
        <c:majorTickMark val="out"/>
        <c:minorTickMark val="none"/>
        <c:tickLblPos val="nextTo"/>
        <c:crossAx val="21553858"/>
        <c:crosses val="autoZero"/>
        <c:auto val="1"/>
        <c:lblOffset val="100"/>
        <c:noMultiLvlLbl val="0"/>
      </c:catAx>
      <c:valAx>
        <c:axId val="21553858"/>
        <c:scaling>
          <c:orientation val="minMax"/>
          <c:max val="350"/>
          <c:min val="0"/>
        </c:scaling>
        <c:axPos val="l"/>
        <c:majorGridlines/>
        <c:delete val="0"/>
        <c:numFmt formatCode="0" sourceLinked="0"/>
        <c:majorTickMark val="out"/>
        <c:minorTickMark val="none"/>
        <c:tickLblPos val="nextTo"/>
        <c:crossAx val="2394873"/>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Primary purpose is to check some KNO3 that Steve Ghioto got from someone on eBay.  It seems good, producing a batch of rcandy with nice texture, light color, burn rate of about 10 seconds per linear inch at 1 atm. 
Ignitor is about 10 square inches fuse paper, with a tiny pinch of meal powder next to the bridge wire to make sure it lights.
This time, I did not wrap the grain in fuse paper to enhance ignition, and the result might be seen at the beginning of the burn.  The little step before full ignition is though to be the core burning.  In the Aerotech design, the grain column is compressed a bit by the end closures, in this test they are pressing steel washers against the grain ends.  If the grain ends are flat, it might take a little time for flame to "leak" past them to ignite the outer surface of the grain.  So uneven grain ends might actually improve performance in this motor.  
ISP is lower than expected, reason unknown.  Slow ignition bump could explain a little reduction in ISP but not that much.  Guess it could be the KNO3 but that doesn't seem likely.
Maybe I'll try it again with the fuse paper wrapper.
JY
12/22/07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200650"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3716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38137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562975"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448050"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409950"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409950"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409950"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419475"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200650"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3716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38137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562975"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448050"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409950"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409950"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409950"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419475"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net/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161</v>
      </c>
      <c r="B1" t="s">
        <v>168</v>
      </c>
    </row>
    <row r="2" ht="12.75">
      <c r="B2" t="s">
        <v>169</v>
      </c>
    </row>
    <row r="3" ht="12.75">
      <c r="B3" t="s">
        <v>170</v>
      </c>
    </row>
    <row r="4" ht="12.75">
      <c r="B4" t="s">
        <v>171</v>
      </c>
    </row>
    <row r="5" ht="12.75">
      <c r="B5" t="s">
        <v>172</v>
      </c>
    </row>
    <row r="8" spans="3:7" ht="12.75">
      <c r="C8" t="s">
        <v>6</v>
      </c>
      <c r="F8" t="s">
        <v>6</v>
      </c>
      <c r="G8" t="s">
        <v>6</v>
      </c>
    </row>
    <row r="9" spans="9:13" ht="12.75">
      <c r="I9" t="s">
        <v>47</v>
      </c>
      <c r="J9">
        <v>1</v>
      </c>
      <c r="K9">
        <v>2</v>
      </c>
      <c r="L9">
        <v>3</v>
      </c>
      <c r="M9">
        <v>4</v>
      </c>
    </row>
    <row r="10" spans="9:10" ht="12.75">
      <c r="I10" t="s">
        <v>13</v>
      </c>
      <c r="J10" s="5" t="s">
        <v>159</v>
      </c>
    </row>
    <row r="11" spans="9:10" ht="12.75">
      <c r="I11" t="s">
        <v>14</v>
      </c>
      <c r="J11" t="s">
        <v>163</v>
      </c>
    </row>
    <row r="12" spans="9:10" ht="12.75">
      <c r="I12" t="s">
        <v>15</v>
      </c>
      <c r="J12" t="s">
        <v>164</v>
      </c>
    </row>
    <row r="13" spans="11:19" ht="12.75">
      <c r="K13" t="s">
        <v>6</v>
      </c>
      <c r="N13" t="s">
        <v>42</v>
      </c>
      <c r="P13" t="s">
        <v>56</v>
      </c>
      <c r="R13">
        <v>0.56</v>
      </c>
      <c r="S13" t="s">
        <v>43</v>
      </c>
    </row>
    <row r="14" spans="9:16" ht="12.75">
      <c r="I14" t="s">
        <v>18</v>
      </c>
      <c r="J14">
        <v>3.68</v>
      </c>
      <c r="N14" s="1">
        <f>SUM(J14:M14)</f>
        <v>3.68</v>
      </c>
      <c r="O14" t="s">
        <v>11</v>
      </c>
      <c r="P14" t="s">
        <v>6</v>
      </c>
    </row>
    <row r="15" spans="9:16" ht="12.75">
      <c r="I15" t="s">
        <v>16</v>
      </c>
      <c r="J15">
        <v>1.185</v>
      </c>
      <c r="N15" s="1">
        <f>AVERAGE(J15:M15)</f>
        <v>1.185</v>
      </c>
      <c r="O15" t="s">
        <v>11</v>
      </c>
      <c r="P15" t="s">
        <v>6</v>
      </c>
    </row>
    <row r="16" spans="9:15" ht="12.75">
      <c r="I16" t="s">
        <v>17</v>
      </c>
      <c r="J16">
        <v>0.34</v>
      </c>
      <c r="N16" s="1">
        <f>AVERAGE(J16:M16)</f>
        <v>0.34</v>
      </c>
      <c r="O16" t="s">
        <v>51</v>
      </c>
    </row>
    <row r="17" spans="9:16" ht="12.75">
      <c r="I17" t="s">
        <v>50</v>
      </c>
      <c r="J17">
        <v>99.5</v>
      </c>
      <c r="K17" t="s">
        <v>154</v>
      </c>
      <c r="N17" s="1">
        <f>SUM(J17:M17)</f>
        <v>99.5</v>
      </c>
      <c r="O17" t="s">
        <v>23</v>
      </c>
      <c r="P17" t="s">
        <v>6</v>
      </c>
    </row>
    <row r="18" spans="9:15" ht="12.75">
      <c r="I18" t="s">
        <v>37</v>
      </c>
      <c r="J18">
        <f>(J15-J16)/2</f>
        <v>0.4225</v>
      </c>
      <c r="M18">
        <f>(M15-M16)/2</f>
        <v>0</v>
      </c>
      <c r="N18" s="1">
        <f>AVERAGE(J18:J18)</f>
        <v>0.4225</v>
      </c>
      <c r="O18" t="s">
        <v>11</v>
      </c>
    </row>
    <row r="19" spans="9:15" ht="12.75">
      <c r="I19" t="s">
        <v>41</v>
      </c>
      <c r="J19">
        <v>99.5</v>
      </c>
      <c r="M19">
        <f>M17-(R13*M14)</f>
        <v>0</v>
      </c>
      <c r="N19" s="1">
        <f>SUM(J19:M19)</f>
        <v>99.5</v>
      </c>
      <c r="O19" t="s">
        <v>23</v>
      </c>
    </row>
    <row r="21" ht="12.75">
      <c r="I21" t="s">
        <v>9</v>
      </c>
    </row>
    <row r="22" spans="9:12" ht="12.75">
      <c r="I22" t="s">
        <v>19</v>
      </c>
      <c r="J22" s="1">
        <v>0.304</v>
      </c>
      <c r="K22" t="s">
        <v>11</v>
      </c>
      <c r="L22" t="s">
        <v>165</v>
      </c>
    </row>
    <row r="23" spans="9:11" ht="12.75">
      <c r="I23" t="s">
        <v>20</v>
      </c>
      <c r="J23">
        <v>0.304</v>
      </c>
      <c r="K23" t="s">
        <v>11</v>
      </c>
    </row>
    <row r="24" spans="9:13" ht="12.75">
      <c r="I24" t="s">
        <v>39</v>
      </c>
      <c r="J24" s="1">
        <f>J23-J22</f>
        <v>0</v>
      </c>
      <c r="K24" t="s">
        <v>11</v>
      </c>
      <c r="L24">
        <f>(J24/J22)*100</f>
        <v>0</v>
      </c>
      <c r="M24" t="s">
        <v>79</v>
      </c>
    </row>
    <row r="26" spans="10:11" ht="12.75">
      <c r="J26" t="s">
        <v>21</v>
      </c>
      <c r="K26" t="s">
        <v>75</v>
      </c>
    </row>
    <row r="27" spans="9:14" ht="12.75">
      <c r="I27" t="s">
        <v>8</v>
      </c>
      <c r="J27">
        <v>271</v>
      </c>
      <c r="K27">
        <v>1050</v>
      </c>
      <c r="M27" t="s">
        <v>76</v>
      </c>
      <c r="N27" t="s">
        <v>44</v>
      </c>
    </row>
    <row r="28" spans="9:15" ht="12.75">
      <c r="I28" t="s">
        <v>22</v>
      </c>
      <c r="J28">
        <v>271</v>
      </c>
      <c r="K28">
        <v>1050</v>
      </c>
      <c r="M28" t="s">
        <v>76</v>
      </c>
      <c r="N28" t="s">
        <v>33</v>
      </c>
      <c r="O28">
        <f>((J22/2)^2)*PI()</f>
        <v>0.07258335666853857</v>
      </c>
    </row>
    <row r="29" spans="9:15" ht="12.75">
      <c r="I29" t="s">
        <v>10</v>
      </c>
      <c r="J29">
        <v>187</v>
      </c>
      <c r="K29">
        <v>550</v>
      </c>
      <c r="M29" t="s">
        <v>76</v>
      </c>
      <c r="N29" t="s">
        <v>35</v>
      </c>
      <c r="O29">
        <f>B32/O28</f>
        <v>978.4288609344898</v>
      </c>
    </row>
    <row r="30" spans="9:14" ht="12.75">
      <c r="I30" t="s">
        <v>36</v>
      </c>
      <c r="J30">
        <f>(N18/B34)/2</f>
        <v>0.43333333333333335</v>
      </c>
      <c r="K30" t="s">
        <v>38</v>
      </c>
      <c r="N30" t="s">
        <v>45</v>
      </c>
    </row>
    <row r="31" ht="12.75">
      <c r="L31" t="s">
        <v>77</v>
      </c>
    </row>
    <row r="32" spans="1:3" ht="12.75">
      <c r="A32" t="s">
        <v>12</v>
      </c>
      <c r="B32" s="1">
        <f>MAX(Data!B10:B500)</f>
        <v>71.017650988</v>
      </c>
      <c r="C32" t="s">
        <v>30</v>
      </c>
    </row>
    <row r="33" spans="1:7" ht="12.75">
      <c r="A33" t="s">
        <v>2</v>
      </c>
      <c r="B33" s="1">
        <f>AVERAGE(Data!B47:B164)</f>
        <v>47.44789648717457</v>
      </c>
      <c r="C33" t="s">
        <v>27</v>
      </c>
      <c r="G33" t="s">
        <v>6</v>
      </c>
    </row>
    <row r="34" spans="1:3" ht="12.75">
      <c r="A34" t="s">
        <v>0</v>
      </c>
      <c r="B34" s="2">
        <f>(164-47)/240</f>
        <v>0.4875</v>
      </c>
      <c r="C34" t="s">
        <v>31</v>
      </c>
    </row>
    <row r="35" spans="1:6" ht="12.75">
      <c r="A35" t="s">
        <v>3</v>
      </c>
      <c r="B35" s="2">
        <f>((SUM(Data!B47:B164))/240)</f>
        <v>23.32854910619416</v>
      </c>
      <c r="C35" t="s">
        <v>4</v>
      </c>
      <c r="F35" t="s">
        <v>6</v>
      </c>
    </row>
    <row r="36" spans="1:9" ht="12.75">
      <c r="A36" t="s">
        <v>3</v>
      </c>
      <c r="B36" s="2">
        <f>B35*4.448</f>
        <v>103.76538642435163</v>
      </c>
      <c r="C36" t="s">
        <v>5</v>
      </c>
      <c r="I36" s="3"/>
    </row>
    <row r="37" spans="1:8" ht="12.75">
      <c r="A37" t="s">
        <v>68</v>
      </c>
      <c r="B37" s="1">
        <f>(N19)/1000</f>
        <v>0.0995</v>
      </c>
      <c r="C37" t="s">
        <v>49</v>
      </c>
      <c r="H37" t="s">
        <v>157</v>
      </c>
    </row>
    <row r="38" spans="1:8" ht="12.75">
      <c r="A38" t="s">
        <v>68</v>
      </c>
      <c r="B38" s="3">
        <f>B37/453.54*1000</f>
        <v>0.21938528023989065</v>
      </c>
      <c r="C38" t="s">
        <v>7</v>
      </c>
      <c r="H38" t="s">
        <v>158</v>
      </c>
    </row>
    <row r="39" spans="1:3" ht="12.75">
      <c r="A39" t="s">
        <v>102</v>
      </c>
      <c r="B39" s="2">
        <f>(B36/B37)/9.8</f>
        <v>106.41512298672099</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0.602</v>
      </c>
      <c r="J43">
        <f>(I43)/H43</f>
        <v>0.04013333333333333</v>
      </c>
      <c r="K43">
        <f>1/J43</f>
        <v>24.916943521594686</v>
      </c>
    </row>
    <row r="44" spans="1:11" ht="12.75">
      <c r="A44" t="s">
        <v>29</v>
      </c>
      <c r="H44">
        <v>30</v>
      </c>
      <c r="I44" s="3">
        <v>1.204</v>
      </c>
      <c r="J44">
        <f>(I44)/H44</f>
        <v>0.04013333333333333</v>
      </c>
      <c r="K44">
        <f>1/J44</f>
        <v>24.916943521594686</v>
      </c>
    </row>
    <row r="45" spans="1:11" ht="12.75">
      <c r="A45" t="s">
        <v>32</v>
      </c>
      <c r="H45">
        <v>40</v>
      </c>
      <c r="I45" s="3">
        <v>1.642</v>
      </c>
      <c r="J45">
        <f>(I45)/H45</f>
        <v>0.041049999999999996</v>
      </c>
      <c r="K45">
        <f>1/J45</f>
        <v>24.3605359317905</v>
      </c>
    </row>
    <row r="46" spans="8:11" ht="12.75">
      <c r="H46">
        <v>50</v>
      </c>
      <c r="I46" s="3">
        <v>2.106</v>
      </c>
      <c r="J46">
        <f>(I46)/H46</f>
        <v>0.04212</v>
      </c>
      <c r="K46">
        <f>1/J46</f>
        <v>23.741690408357076</v>
      </c>
    </row>
    <row r="47" spans="1:11" ht="12.75">
      <c r="A47" t="s">
        <v>6</v>
      </c>
      <c r="G47" t="s">
        <v>6</v>
      </c>
      <c r="H47">
        <v>60</v>
      </c>
      <c r="I47" s="3">
        <v>2.439</v>
      </c>
      <c r="J47">
        <f>(I47)/H47</f>
        <v>0.04065</v>
      </c>
      <c r="K47">
        <f>1/J47</f>
        <v>24.600246002460025</v>
      </c>
    </row>
    <row r="48" spans="8:11" ht="12.75">
      <c r="H48">
        <v>70</v>
      </c>
      <c r="I48" s="3">
        <v>2.814</v>
      </c>
      <c r="J48">
        <f>(I48)/H48</f>
        <v>0.0402</v>
      </c>
      <c r="K48">
        <f>1/J48</f>
        <v>24.875621890547265</v>
      </c>
    </row>
    <row r="49" ht="12.75">
      <c r="I49" s="3"/>
    </row>
    <row r="50" spans="1:9" ht="12.75">
      <c r="A50" t="s">
        <v>78</v>
      </c>
      <c r="I50" s="3"/>
    </row>
    <row r="51" spans="1:9" ht="12.75">
      <c r="A51" t="s">
        <v>101</v>
      </c>
      <c r="B51">
        <v>2.73</v>
      </c>
      <c r="C51" t="s">
        <v>54</v>
      </c>
      <c r="D51">
        <f>B52-B51</f>
        <v>1</v>
      </c>
      <c r="E51" t="s">
        <v>55</v>
      </c>
      <c r="I51" s="3"/>
    </row>
    <row r="52" spans="1:12" ht="12.75">
      <c r="A52" t="s">
        <v>52</v>
      </c>
      <c r="B52">
        <v>3.73</v>
      </c>
      <c r="I52" s="7" t="s">
        <v>66</v>
      </c>
      <c r="J52">
        <f>AVERAGE(J44:J50)</f>
        <v>0.04083066666666666</v>
      </c>
      <c r="K52">
        <f>AVERAGE(K43:K48)</f>
        <v>24.568663546057376</v>
      </c>
      <c r="L52" t="s">
        <v>160</v>
      </c>
    </row>
    <row r="53" spans="1:11" ht="12.75">
      <c r="A53" t="s">
        <v>74</v>
      </c>
      <c r="B53">
        <v>3.93</v>
      </c>
      <c r="K53" t="s">
        <v>69</v>
      </c>
    </row>
    <row r="54" spans="1:11" ht="12.75">
      <c r="A54" t="s">
        <v>53</v>
      </c>
      <c r="B54">
        <v>4.27</v>
      </c>
      <c r="C54" t="s">
        <v>0</v>
      </c>
      <c r="D54">
        <f>B54-B52</f>
        <v>0.5399999999999996</v>
      </c>
      <c r="E54" t="s">
        <v>55</v>
      </c>
      <c r="K54" t="s">
        <v>70</v>
      </c>
    </row>
    <row r="55" spans="1:5" ht="12.75">
      <c r="A55" t="s">
        <v>6</v>
      </c>
      <c r="B55" t="s">
        <v>6</v>
      </c>
      <c r="C55" t="s">
        <v>6</v>
      </c>
      <c r="D55" t="s">
        <v>6</v>
      </c>
      <c r="E55" t="s">
        <v>6</v>
      </c>
    </row>
    <row r="58" ht="12.75">
      <c r="D58" s="2"/>
    </row>
    <row r="59" ht="12.75">
      <c r="A59" t="s">
        <v>71</v>
      </c>
    </row>
    <row r="60" ht="12.75">
      <c r="A60" s="8">
        <v>39104</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166</v>
      </c>
    </row>
    <row r="9" spans="1:5" ht="12.75">
      <c r="A9" t="s">
        <v>24</v>
      </c>
      <c r="B9" t="s">
        <v>28</v>
      </c>
      <c r="D9" t="s">
        <v>34</v>
      </c>
      <c r="E9" t="s">
        <v>40</v>
      </c>
    </row>
    <row r="10" spans="1:5" ht="12.75">
      <c r="A10" s="1">
        <v>0.0012207</v>
      </c>
      <c r="B10" s="1">
        <f>(A10*24.56866)-0.03</f>
        <v>-9.036737999998379E-06</v>
      </c>
      <c r="C10" t="s">
        <v>6</v>
      </c>
      <c r="D10" s="20">
        <f>MAX(B10:B384)</f>
        <v>71.017650988</v>
      </c>
      <c r="E10">
        <f>D10/10</f>
        <v>7.1017650988</v>
      </c>
    </row>
    <row r="11" spans="1:3" ht="12.75">
      <c r="A11" s="1">
        <v>-0.0012207</v>
      </c>
      <c r="B11" s="1">
        <f aca="true" t="shared" si="0" ref="B11:B74">(A11*24.56866)-0.03</f>
        <v>-0.059990963262</v>
      </c>
      <c r="C11" t="s">
        <v>6</v>
      </c>
    </row>
    <row r="12" spans="1:2" ht="12.75">
      <c r="A12" s="1">
        <v>0.0048828</v>
      </c>
      <c r="B12" s="1">
        <f t="shared" si="0"/>
        <v>0.089963853048</v>
      </c>
    </row>
    <row r="13" spans="1:4" ht="12.75">
      <c r="A13" s="1">
        <v>0.0048828</v>
      </c>
      <c r="B13" s="1">
        <f t="shared" si="0"/>
        <v>0.089963853048</v>
      </c>
      <c r="D13" t="s">
        <v>6</v>
      </c>
    </row>
    <row r="14" spans="1:4" ht="12.75">
      <c r="A14" s="1">
        <v>0.0012207</v>
      </c>
      <c r="B14" s="1">
        <f t="shared" si="0"/>
        <v>-9.036737999998379E-06</v>
      </c>
      <c r="D14" t="s">
        <v>6</v>
      </c>
    </row>
    <row r="15" spans="1:4" ht="12.75">
      <c r="A15" s="1">
        <v>0</v>
      </c>
      <c r="B15" s="1">
        <f t="shared" si="0"/>
        <v>-0.03</v>
      </c>
      <c r="D15" t="s">
        <v>6</v>
      </c>
    </row>
    <row r="16" spans="1:2" ht="12.75">
      <c r="A16" s="1">
        <v>0.0061035</v>
      </c>
      <c r="B16" s="1">
        <f t="shared" si="0"/>
        <v>0.11995481631000002</v>
      </c>
    </row>
    <row r="17" spans="1:2" ht="12.75">
      <c r="A17" s="1">
        <v>0.0061035</v>
      </c>
      <c r="B17" s="1">
        <f t="shared" si="0"/>
        <v>0.11995481631000002</v>
      </c>
    </row>
    <row r="18" spans="1:2" ht="12.75">
      <c r="A18" s="1">
        <v>0.018311</v>
      </c>
      <c r="B18" s="1">
        <f t="shared" si="0"/>
        <v>0.4198767332600001</v>
      </c>
    </row>
    <row r="19" spans="1:2" ht="12.75">
      <c r="A19" s="1">
        <v>0.024414</v>
      </c>
      <c r="B19" s="1">
        <f t="shared" si="0"/>
        <v>0.56981926524</v>
      </c>
    </row>
    <row r="20" spans="1:2" ht="12.75">
      <c r="A20" s="1">
        <v>-0.0061035</v>
      </c>
      <c r="B20" s="1">
        <f t="shared" si="0"/>
        <v>-0.17995481631000002</v>
      </c>
    </row>
    <row r="21" spans="1:2" ht="12.75">
      <c r="A21" s="1">
        <v>-0.0048828</v>
      </c>
      <c r="B21" s="1">
        <f t="shared" si="0"/>
        <v>-0.149963853048</v>
      </c>
    </row>
    <row r="22" spans="1:2" ht="12.75">
      <c r="A22" s="1">
        <v>0.0024414</v>
      </c>
      <c r="B22" s="1">
        <f t="shared" si="0"/>
        <v>0.029981926524000002</v>
      </c>
    </row>
    <row r="23" spans="1:3" ht="12.75">
      <c r="A23" s="1">
        <v>-0.0012207</v>
      </c>
      <c r="B23" s="1">
        <f t="shared" si="0"/>
        <v>-0.059990963262</v>
      </c>
      <c r="C23" t="s">
        <v>6</v>
      </c>
    </row>
    <row r="24" spans="1:2" ht="12.75">
      <c r="A24" s="1">
        <v>0.0024414</v>
      </c>
      <c r="B24" s="1">
        <f t="shared" si="0"/>
        <v>0.029981926524000002</v>
      </c>
    </row>
    <row r="25" spans="1:2" ht="12.75">
      <c r="A25" s="1">
        <v>0.0024414</v>
      </c>
      <c r="B25" s="1">
        <f t="shared" si="0"/>
        <v>0.029981926524000002</v>
      </c>
    </row>
    <row r="26" spans="1:2" ht="12.75">
      <c r="A26" s="1">
        <v>-0.0048828</v>
      </c>
      <c r="B26" s="1">
        <f t="shared" si="0"/>
        <v>-0.149963853048</v>
      </c>
    </row>
    <row r="27" spans="1:2" ht="12.75">
      <c r="A27" s="1">
        <v>-0.0048828</v>
      </c>
      <c r="B27" s="1">
        <f t="shared" si="0"/>
        <v>-0.149963853048</v>
      </c>
    </row>
    <row r="28" spans="1:2" ht="12.75">
      <c r="A28" s="1">
        <v>0.0024414</v>
      </c>
      <c r="B28" s="1">
        <f t="shared" si="0"/>
        <v>0.029981926524000002</v>
      </c>
    </row>
    <row r="29" spans="1:2" ht="12.75">
      <c r="A29" s="1">
        <v>0.0024414</v>
      </c>
      <c r="B29" s="1">
        <f t="shared" si="0"/>
        <v>0.029981926524000002</v>
      </c>
    </row>
    <row r="30" spans="1:2" ht="12.75">
      <c r="A30" s="1">
        <v>-0.0012207</v>
      </c>
      <c r="B30" s="1">
        <f t="shared" si="0"/>
        <v>-0.059990963262</v>
      </c>
    </row>
    <row r="31" spans="1:2" ht="12.75">
      <c r="A31" s="1">
        <v>-0.0024414</v>
      </c>
      <c r="B31" s="1">
        <f t="shared" si="0"/>
        <v>-0.089981926524</v>
      </c>
    </row>
    <row r="32" spans="1:2" ht="12.75">
      <c r="A32" s="1">
        <v>0.0024414</v>
      </c>
      <c r="B32" s="1">
        <f t="shared" si="0"/>
        <v>0.029981926524000002</v>
      </c>
    </row>
    <row r="33" spans="1:2" ht="12.75">
      <c r="A33" s="1">
        <v>0.0012207</v>
      </c>
      <c r="B33" s="1">
        <f t="shared" si="0"/>
        <v>-9.036737999998379E-06</v>
      </c>
    </row>
    <row r="34" spans="1:2" ht="12.75">
      <c r="A34" s="1">
        <v>-0.0024414</v>
      </c>
      <c r="B34" s="1">
        <f t="shared" si="0"/>
        <v>-0.089981926524</v>
      </c>
    </row>
    <row r="35" spans="1:2" ht="12.75">
      <c r="A35" s="1">
        <v>0</v>
      </c>
      <c r="B35" s="1">
        <f t="shared" si="0"/>
        <v>-0.03</v>
      </c>
    </row>
    <row r="36" spans="1:2" ht="12.75">
      <c r="A36" s="1">
        <v>0.0073242</v>
      </c>
      <c r="B36" s="1">
        <f t="shared" si="0"/>
        <v>0.14994577957200003</v>
      </c>
    </row>
    <row r="37" spans="1:2" ht="12.75">
      <c r="A37" s="1">
        <v>0.0048828</v>
      </c>
      <c r="B37" s="1">
        <f t="shared" si="0"/>
        <v>0.089963853048</v>
      </c>
    </row>
    <row r="38" spans="1:2" ht="12.75">
      <c r="A38" s="1">
        <v>0</v>
      </c>
      <c r="B38" s="1">
        <f t="shared" si="0"/>
        <v>-0.03</v>
      </c>
    </row>
    <row r="39" spans="1:2" ht="12.75">
      <c r="A39" s="1">
        <v>0.0012207</v>
      </c>
      <c r="B39" s="1">
        <f t="shared" si="0"/>
        <v>-9.036737999998379E-06</v>
      </c>
    </row>
    <row r="40" spans="1:2" ht="12.75">
      <c r="A40" s="1">
        <v>0.0073242</v>
      </c>
      <c r="B40" s="1">
        <f t="shared" si="0"/>
        <v>0.14994577957200003</v>
      </c>
    </row>
    <row r="41" spans="1:2" ht="12.75">
      <c r="A41" s="1">
        <v>0.0085449</v>
      </c>
      <c r="B41" s="1">
        <f t="shared" si="0"/>
        <v>0.179936742834</v>
      </c>
    </row>
    <row r="42" spans="1:2" ht="12.75">
      <c r="A42" s="1">
        <v>0.0061035</v>
      </c>
      <c r="B42" s="1">
        <f t="shared" si="0"/>
        <v>0.11995481631000002</v>
      </c>
    </row>
    <row r="43" spans="1:2" ht="12.75">
      <c r="A43" s="1">
        <v>0.0085449</v>
      </c>
      <c r="B43" s="1">
        <f t="shared" si="0"/>
        <v>0.179936742834</v>
      </c>
    </row>
    <row r="44" spans="1:2" ht="12.75">
      <c r="A44" s="1">
        <v>0.018311</v>
      </c>
      <c r="B44" s="1">
        <f t="shared" si="0"/>
        <v>0.4198767332600001</v>
      </c>
    </row>
    <row r="45" spans="1:2" ht="12.75">
      <c r="A45" s="1">
        <v>0.021973</v>
      </c>
      <c r="B45" s="1">
        <f t="shared" si="0"/>
        <v>0.50984716618</v>
      </c>
    </row>
    <row r="46" spans="1:2" ht="12.75">
      <c r="A46" s="1">
        <v>0.021973</v>
      </c>
      <c r="B46" s="1">
        <f t="shared" si="0"/>
        <v>0.50984716618</v>
      </c>
    </row>
    <row r="47" spans="1:3" ht="12.75">
      <c r="A47" s="1">
        <v>0.03418</v>
      </c>
      <c r="B47" s="1">
        <f t="shared" si="0"/>
        <v>0.8097567988000001</v>
      </c>
      <c r="C47" s="1" t="s">
        <v>48</v>
      </c>
    </row>
    <row r="48" spans="1:2" ht="12.75">
      <c r="A48" s="1">
        <v>0.11108</v>
      </c>
      <c r="B48" s="1">
        <f t="shared" si="0"/>
        <v>2.6990867528000004</v>
      </c>
    </row>
    <row r="49" spans="1:2" ht="12.75">
      <c r="A49" s="1">
        <v>0.20264</v>
      </c>
      <c r="B49" s="1">
        <f t="shared" si="0"/>
        <v>4.948593262399999</v>
      </c>
    </row>
    <row r="50" spans="1:2" ht="12.75">
      <c r="A50" s="1">
        <v>0.2832</v>
      </c>
      <c r="B50" s="1">
        <f t="shared" si="0"/>
        <v>6.927844512</v>
      </c>
    </row>
    <row r="51" spans="1:2" ht="12.75">
      <c r="A51" s="1">
        <v>0.29175</v>
      </c>
      <c r="B51" s="1">
        <f t="shared" si="0"/>
        <v>7.137906555000001</v>
      </c>
    </row>
    <row r="52" spans="1:2" ht="12.75">
      <c r="A52" s="1">
        <v>0.34424</v>
      </c>
      <c r="B52" s="1">
        <f t="shared" si="0"/>
        <v>8.427515518400002</v>
      </c>
    </row>
    <row r="53" spans="1:2" ht="12.75">
      <c r="A53" s="1">
        <v>0.39307</v>
      </c>
      <c r="B53" s="1">
        <f t="shared" si="0"/>
        <v>9.627203186200001</v>
      </c>
    </row>
    <row r="54" spans="1:2" ht="12.75">
      <c r="A54" s="1">
        <v>0.42358</v>
      </c>
      <c r="B54" s="1">
        <f t="shared" si="0"/>
        <v>10.376793002800001</v>
      </c>
    </row>
    <row r="55" spans="1:2" ht="12.75">
      <c r="A55" s="1">
        <v>0.43945</v>
      </c>
      <c r="B55" s="1">
        <f t="shared" si="0"/>
        <v>10.766697637000002</v>
      </c>
    </row>
    <row r="56" spans="1:2" ht="12.75">
      <c r="A56" s="1">
        <v>0.46753</v>
      </c>
      <c r="B56" s="1">
        <f t="shared" si="0"/>
        <v>11.456585609800001</v>
      </c>
    </row>
    <row r="57" spans="1:2" ht="12.75">
      <c r="A57" s="1">
        <v>0.48462</v>
      </c>
      <c r="B57" s="1">
        <f t="shared" si="0"/>
        <v>11.876464009200001</v>
      </c>
    </row>
    <row r="58" spans="1:2" ht="12.75">
      <c r="A58" s="1">
        <v>0.48462</v>
      </c>
      <c r="B58" s="1">
        <f t="shared" si="0"/>
        <v>11.876464009200001</v>
      </c>
    </row>
    <row r="59" spans="1:2" ht="12.75">
      <c r="A59" s="1">
        <v>0.48462</v>
      </c>
      <c r="B59" s="1">
        <f t="shared" si="0"/>
        <v>11.876464009200001</v>
      </c>
    </row>
    <row r="60" spans="1:2" ht="12.75">
      <c r="A60" s="1">
        <v>0.49927</v>
      </c>
      <c r="B60" s="1">
        <f t="shared" si="0"/>
        <v>12.2363948782</v>
      </c>
    </row>
    <row r="61" spans="1:2" ht="12.75">
      <c r="A61" s="1">
        <v>0.50659</v>
      </c>
      <c r="B61" s="1">
        <f t="shared" si="0"/>
        <v>12.4162374694</v>
      </c>
    </row>
    <row r="62" spans="1:2" ht="12.75">
      <c r="A62" s="1">
        <v>0.51392</v>
      </c>
      <c r="B62" s="1">
        <f t="shared" si="0"/>
        <v>12.596325747200002</v>
      </c>
    </row>
    <row r="63" spans="1:2" ht="12.75">
      <c r="A63" s="1">
        <v>0.52612</v>
      </c>
      <c r="B63" s="1">
        <f t="shared" si="0"/>
        <v>12.896063399200003</v>
      </c>
    </row>
    <row r="64" spans="1:2" ht="12.75">
      <c r="A64" s="1">
        <v>0.5481</v>
      </c>
      <c r="B64" s="1">
        <f t="shared" si="0"/>
        <v>13.436082546000002</v>
      </c>
    </row>
    <row r="65" spans="1:2" ht="12.75">
      <c r="A65" s="1">
        <v>0.56396</v>
      </c>
      <c r="B65" s="1">
        <f t="shared" si="0"/>
        <v>13.825741493600002</v>
      </c>
    </row>
    <row r="66" spans="1:2" ht="12.75">
      <c r="A66" s="1">
        <v>0.57983</v>
      </c>
      <c r="B66" s="1">
        <f t="shared" si="0"/>
        <v>14.2156461278</v>
      </c>
    </row>
    <row r="67" spans="1:2" ht="12.75">
      <c r="A67" s="1">
        <v>0.60059</v>
      </c>
      <c r="B67" s="1">
        <f t="shared" si="0"/>
        <v>14.7256915094</v>
      </c>
    </row>
    <row r="68" spans="1:2" ht="12.75">
      <c r="A68" s="1">
        <v>0.6311</v>
      </c>
      <c r="B68" s="1">
        <f t="shared" si="0"/>
        <v>15.475281326000001</v>
      </c>
    </row>
    <row r="69" spans="1:2" ht="12.75">
      <c r="A69" s="1">
        <v>0.65308</v>
      </c>
      <c r="B69" s="1">
        <f t="shared" si="0"/>
        <v>16.0153004728</v>
      </c>
    </row>
    <row r="70" spans="1:2" ht="12.75">
      <c r="A70" s="1">
        <v>0.67383</v>
      </c>
      <c r="B70" s="1">
        <f t="shared" si="0"/>
        <v>16.5251001678</v>
      </c>
    </row>
    <row r="71" spans="1:2" ht="12.75">
      <c r="A71" s="1">
        <v>0.70435</v>
      </c>
      <c r="B71" s="1">
        <f t="shared" si="0"/>
        <v>17.274935671</v>
      </c>
    </row>
    <row r="72" spans="1:2" ht="12.75">
      <c r="A72" s="1">
        <v>0.74463</v>
      </c>
      <c r="B72" s="1">
        <f t="shared" si="0"/>
        <v>18.2645612958</v>
      </c>
    </row>
    <row r="73" spans="1:2" ht="12.75">
      <c r="A73" s="1">
        <v>0.80566</v>
      </c>
      <c r="B73" s="1">
        <f t="shared" si="0"/>
        <v>19.7639866156</v>
      </c>
    </row>
    <row r="74" spans="1:2" ht="12.75">
      <c r="A74" s="1">
        <v>0.89722</v>
      </c>
      <c r="B74" s="1">
        <f t="shared" si="0"/>
        <v>22.0134931252</v>
      </c>
    </row>
    <row r="75" spans="1:2" ht="12.75">
      <c r="A75" s="1">
        <v>1.0547</v>
      </c>
      <c r="B75" s="1">
        <f aca="true" t="shared" si="1" ref="B75:B138">(A75*24.56866)-0.03</f>
        <v>25.882565702</v>
      </c>
    </row>
    <row r="76" spans="1:2" ht="12.75">
      <c r="A76" s="1">
        <v>1.3171</v>
      </c>
      <c r="B76" s="1">
        <f t="shared" si="1"/>
        <v>32.329382086</v>
      </c>
    </row>
    <row r="77" spans="1:2" ht="12.75">
      <c r="A77" s="1">
        <v>1.6516</v>
      </c>
      <c r="B77" s="1">
        <f t="shared" si="1"/>
        <v>40.547598856</v>
      </c>
    </row>
    <row r="78" spans="1:2" ht="12.75">
      <c r="A78" s="1">
        <v>2.0532</v>
      </c>
      <c r="B78" s="1">
        <f t="shared" si="1"/>
        <v>50.414372712</v>
      </c>
    </row>
    <row r="79" spans="1:2" ht="12.75">
      <c r="A79" s="1">
        <v>2.2571</v>
      </c>
      <c r="B79" s="1">
        <f t="shared" si="1"/>
        <v>55.423922486</v>
      </c>
    </row>
    <row r="80" spans="1:2" ht="12.75">
      <c r="A80" s="1">
        <v>2.3633</v>
      </c>
      <c r="B80" s="1">
        <f t="shared" si="1"/>
        <v>58.033114178000005</v>
      </c>
    </row>
    <row r="81" spans="1:2" ht="12.75">
      <c r="A81" s="1">
        <v>2.4207</v>
      </c>
      <c r="B81" s="1">
        <f t="shared" si="1"/>
        <v>59.443355262000004</v>
      </c>
    </row>
    <row r="82" spans="1:2" ht="12.75">
      <c r="A82" s="1">
        <v>2.5281</v>
      </c>
      <c r="B82" s="1">
        <f t="shared" si="1"/>
        <v>62.082029346</v>
      </c>
    </row>
    <row r="83" spans="1:2" ht="12.75">
      <c r="A83" s="1">
        <v>2.5952</v>
      </c>
      <c r="B83" s="1">
        <f t="shared" si="1"/>
        <v>63.73058643200001</v>
      </c>
    </row>
    <row r="84" spans="1:2" ht="12.75">
      <c r="A84" s="1">
        <v>2.6428</v>
      </c>
      <c r="B84" s="1">
        <f t="shared" si="1"/>
        <v>64.900054648</v>
      </c>
    </row>
    <row r="85" spans="1:2" ht="12.75">
      <c r="A85" s="1">
        <v>2.6965</v>
      </c>
      <c r="B85" s="1">
        <f t="shared" si="1"/>
        <v>66.21939169</v>
      </c>
    </row>
    <row r="86" spans="1:2" ht="12.75">
      <c r="A86" s="1">
        <v>2.7576</v>
      </c>
      <c r="B86" s="1">
        <f t="shared" si="1"/>
        <v>67.720536816</v>
      </c>
    </row>
    <row r="87" spans="1:2" ht="12.75">
      <c r="A87" s="1">
        <v>2.7759</v>
      </c>
      <c r="B87" s="1">
        <f t="shared" si="1"/>
        <v>68.170143294</v>
      </c>
    </row>
    <row r="88" spans="1:2" ht="12.75">
      <c r="A88" s="1">
        <v>2.8125</v>
      </c>
      <c r="B88" s="1">
        <f t="shared" si="1"/>
        <v>69.06935625</v>
      </c>
    </row>
    <row r="89" spans="1:2" ht="12.75">
      <c r="A89" s="1">
        <v>2.8113</v>
      </c>
      <c r="B89" s="1">
        <f t="shared" si="1"/>
        <v>69.039873858</v>
      </c>
    </row>
    <row r="90" spans="1:2" ht="12.75">
      <c r="A90" s="1">
        <v>2.8174</v>
      </c>
      <c r="B90" s="1">
        <f t="shared" si="1"/>
        <v>69.18974268400001</v>
      </c>
    </row>
    <row r="91" spans="1:2" ht="12.75">
      <c r="A91" s="1">
        <v>2.7869</v>
      </c>
      <c r="B91" s="1">
        <f t="shared" si="1"/>
        <v>68.44039855400001</v>
      </c>
    </row>
    <row r="92" spans="1:2" ht="12.75">
      <c r="A92" s="1">
        <v>2.7832</v>
      </c>
      <c r="B92" s="1">
        <f t="shared" si="1"/>
        <v>68.349494512</v>
      </c>
    </row>
    <row r="93" spans="1:2" ht="12.75">
      <c r="A93" s="1">
        <v>2.7869</v>
      </c>
      <c r="B93" s="1">
        <f t="shared" si="1"/>
        <v>68.44039855400001</v>
      </c>
    </row>
    <row r="94" spans="1:2" ht="12.75">
      <c r="A94" s="1">
        <v>2.8015</v>
      </c>
      <c r="B94" s="1">
        <f t="shared" si="1"/>
        <v>68.79910099</v>
      </c>
    </row>
    <row r="95" spans="1:2" ht="12.75">
      <c r="A95" s="1">
        <v>2.7197</v>
      </c>
      <c r="B95" s="1">
        <f t="shared" si="1"/>
        <v>66.789384602</v>
      </c>
    </row>
    <row r="96" spans="1:2" ht="12.75">
      <c r="A96" s="1">
        <v>2.8601</v>
      </c>
      <c r="B96" s="1">
        <f t="shared" si="1"/>
        <v>70.23882446600001</v>
      </c>
    </row>
    <row r="97" spans="1:2" ht="12.75">
      <c r="A97" s="1">
        <v>2.8918</v>
      </c>
      <c r="B97" s="1">
        <f t="shared" si="1"/>
        <v>71.017650988</v>
      </c>
    </row>
    <row r="98" spans="1:2" ht="12.75">
      <c r="A98" s="1">
        <v>2.8564</v>
      </c>
      <c r="B98" s="1">
        <f t="shared" si="1"/>
        <v>70.14792042399999</v>
      </c>
    </row>
    <row r="99" spans="1:2" ht="12.75">
      <c r="A99" s="1">
        <v>2.8442</v>
      </c>
      <c r="B99" s="1">
        <f t="shared" si="1"/>
        <v>69.848182772</v>
      </c>
    </row>
    <row r="100" spans="1:2" ht="12.75">
      <c r="A100" s="1">
        <v>2.8406</v>
      </c>
      <c r="B100" s="1">
        <f t="shared" si="1"/>
        <v>69.759735596</v>
      </c>
    </row>
    <row r="101" spans="1:2" ht="12.75">
      <c r="A101" s="1">
        <v>2.8027</v>
      </c>
      <c r="B101" s="1">
        <f t="shared" si="1"/>
        <v>68.828583382</v>
      </c>
    </row>
    <row r="102" spans="1:2" ht="12.75">
      <c r="A102" s="1">
        <v>2.8064</v>
      </c>
      <c r="B102" s="1">
        <f t="shared" si="1"/>
        <v>68.919487424</v>
      </c>
    </row>
    <row r="103" spans="1:2" ht="12.75">
      <c r="A103" s="1">
        <v>2.7942</v>
      </c>
      <c r="B103" s="1">
        <f t="shared" si="1"/>
        <v>68.619749772</v>
      </c>
    </row>
    <row r="104" spans="1:2" ht="12.75">
      <c r="A104" s="1">
        <v>2.7734</v>
      </c>
      <c r="B104" s="1">
        <f t="shared" si="1"/>
        <v>68.108721644</v>
      </c>
    </row>
    <row r="105" spans="1:2" ht="12.75">
      <c r="A105" s="1">
        <v>2.7673</v>
      </c>
      <c r="B105" s="1">
        <f t="shared" si="1"/>
        <v>67.95885281800001</v>
      </c>
    </row>
    <row r="106" spans="1:2" ht="12.75">
      <c r="A106" s="1">
        <v>2.7625</v>
      </c>
      <c r="B106" s="1">
        <f t="shared" si="1"/>
        <v>67.84092325</v>
      </c>
    </row>
    <row r="107" spans="1:2" ht="12.75">
      <c r="A107" s="1">
        <v>2.749</v>
      </c>
      <c r="B107" s="1">
        <f t="shared" si="1"/>
        <v>67.50924634</v>
      </c>
    </row>
    <row r="108" spans="1:2" ht="12.75">
      <c r="A108" s="1">
        <v>2.7576</v>
      </c>
      <c r="B108" s="1">
        <f t="shared" si="1"/>
        <v>67.720536816</v>
      </c>
    </row>
    <row r="109" spans="1:2" ht="12.75">
      <c r="A109" s="1">
        <v>2.7478</v>
      </c>
      <c r="B109" s="1">
        <f t="shared" si="1"/>
        <v>67.479763948</v>
      </c>
    </row>
    <row r="110" spans="1:2" ht="12.75">
      <c r="A110" s="1">
        <v>2.749</v>
      </c>
      <c r="B110" s="1">
        <f t="shared" si="1"/>
        <v>67.50924634</v>
      </c>
    </row>
    <row r="111" spans="1:2" ht="12.75">
      <c r="A111" s="1">
        <v>2.7515</v>
      </c>
      <c r="B111" s="1">
        <f t="shared" si="1"/>
        <v>67.57066799</v>
      </c>
    </row>
    <row r="112" spans="1:2" ht="12.75">
      <c r="A112" s="1">
        <v>2.7441</v>
      </c>
      <c r="B112" s="1">
        <f t="shared" si="1"/>
        <v>67.38885990600001</v>
      </c>
    </row>
    <row r="113" spans="1:2" ht="12.75">
      <c r="A113" s="1">
        <v>2.7051</v>
      </c>
      <c r="B113" s="1">
        <f t="shared" si="1"/>
        <v>66.430682166</v>
      </c>
    </row>
    <row r="114" spans="1:2" ht="12.75">
      <c r="A114" s="1">
        <v>2.6746</v>
      </c>
      <c r="B114" s="1">
        <f t="shared" si="1"/>
        <v>65.681338036</v>
      </c>
    </row>
    <row r="115" spans="1:2" ht="12.75">
      <c r="A115" s="1">
        <v>2.6807</v>
      </c>
      <c r="B115" s="1">
        <f t="shared" si="1"/>
        <v>65.831206862</v>
      </c>
    </row>
    <row r="116" spans="1:2" ht="12.75">
      <c r="A116" s="1">
        <v>2.6941</v>
      </c>
      <c r="B116" s="1">
        <f t="shared" si="1"/>
        <v>66.16042690600001</v>
      </c>
    </row>
    <row r="117" spans="1:2" ht="12.75">
      <c r="A117" s="1">
        <v>2.7283</v>
      </c>
      <c r="B117" s="1">
        <f t="shared" si="1"/>
        <v>67.000675078</v>
      </c>
    </row>
    <row r="118" spans="1:2" ht="12.75">
      <c r="A118" s="1">
        <v>2.7002</v>
      </c>
      <c r="B118" s="1">
        <f t="shared" si="1"/>
        <v>66.310295732</v>
      </c>
    </row>
    <row r="119" spans="1:2" ht="12.75">
      <c r="A119" s="1">
        <v>2.6868</v>
      </c>
      <c r="B119" s="1">
        <f t="shared" si="1"/>
        <v>65.981075688</v>
      </c>
    </row>
    <row r="120" spans="1:2" ht="12.75">
      <c r="A120" s="1">
        <v>2.71</v>
      </c>
      <c r="B120" s="1">
        <f t="shared" si="1"/>
        <v>66.55106860000001</v>
      </c>
    </row>
    <row r="121" spans="1:2" ht="12.75">
      <c r="A121" s="1">
        <v>2.6965</v>
      </c>
      <c r="B121" s="1">
        <f t="shared" si="1"/>
        <v>66.21939169</v>
      </c>
    </row>
    <row r="122" spans="1:2" ht="12.75">
      <c r="A122" s="1">
        <v>2.6782</v>
      </c>
      <c r="B122" s="1">
        <f t="shared" si="1"/>
        <v>65.769785212</v>
      </c>
    </row>
    <row r="123" spans="1:2" ht="12.75">
      <c r="A123" s="1">
        <v>2.6917</v>
      </c>
      <c r="B123" s="1">
        <f t="shared" si="1"/>
        <v>66.101462122</v>
      </c>
    </row>
    <row r="124" spans="1:2" ht="12.75">
      <c r="A124" s="1">
        <v>2.7112</v>
      </c>
      <c r="B124" s="1">
        <f t="shared" si="1"/>
        <v>66.580550992</v>
      </c>
    </row>
    <row r="125" spans="1:2" ht="12.75">
      <c r="A125" s="1">
        <v>2.7478</v>
      </c>
      <c r="B125" s="1">
        <f t="shared" si="1"/>
        <v>67.479763948</v>
      </c>
    </row>
    <row r="126" spans="1:2" ht="12.75">
      <c r="A126" s="1">
        <v>2.6978</v>
      </c>
      <c r="B126" s="1">
        <f t="shared" si="1"/>
        <v>66.251330948</v>
      </c>
    </row>
    <row r="127" spans="1:2" ht="12.75">
      <c r="A127" s="1">
        <v>2.6855</v>
      </c>
      <c r="B127" s="1">
        <f t="shared" si="1"/>
        <v>65.94913643000001</v>
      </c>
    </row>
    <row r="128" spans="1:2" ht="12.75">
      <c r="A128" s="1">
        <v>2.699</v>
      </c>
      <c r="B128" s="1">
        <f t="shared" si="1"/>
        <v>66.28081334</v>
      </c>
    </row>
    <row r="129" spans="1:2" ht="12.75">
      <c r="A129" s="1">
        <v>2.6697</v>
      </c>
      <c r="B129" s="1">
        <f t="shared" si="1"/>
        <v>65.560951602</v>
      </c>
    </row>
    <row r="130" spans="1:2" ht="12.75">
      <c r="A130" s="1">
        <v>2.6697</v>
      </c>
      <c r="B130" s="1">
        <f t="shared" si="1"/>
        <v>65.560951602</v>
      </c>
    </row>
    <row r="131" spans="1:2" ht="12.75">
      <c r="A131" s="1">
        <v>2.6563</v>
      </c>
      <c r="B131" s="1">
        <f t="shared" si="1"/>
        <v>65.23173155799999</v>
      </c>
    </row>
    <row r="132" spans="1:2" ht="12.75">
      <c r="A132" s="1">
        <v>2.6489</v>
      </c>
      <c r="B132" s="1">
        <f t="shared" si="1"/>
        <v>65.049923474</v>
      </c>
    </row>
    <row r="133" spans="1:2" ht="12.75">
      <c r="A133" s="1">
        <v>2.6538</v>
      </c>
      <c r="B133" s="1">
        <f t="shared" si="1"/>
        <v>65.17030990800001</v>
      </c>
    </row>
    <row r="134" spans="1:2" ht="12.75">
      <c r="A134" s="1">
        <v>2.6331</v>
      </c>
      <c r="B134" s="1">
        <f t="shared" si="1"/>
        <v>64.661738646</v>
      </c>
    </row>
    <row r="135" spans="1:2" ht="12.75">
      <c r="A135" s="1">
        <v>2.6489</v>
      </c>
      <c r="B135" s="1">
        <f t="shared" si="1"/>
        <v>65.049923474</v>
      </c>
    </row>
    <row r="136" spans="1:2" ht="12.75">
      <c r="A136" s="1">
        <v>2.6318</v>
      </c>
      <c r="B136" s="1">
        <f t="shared" si="1"/>
        <v>64.62979938800001</v>
      </c>
    </row>
    <row r="137" spans="1:2" ht="12.75">
      <c r="A137" s="1">
        <v>2.627</v>
      </c>
      <c r="B137" s="1">
        <f t="shared" si="1"/>
        <v>64.51186982</v>
      </c>
    </row>
    <row r="138" spans="1:2" ht="12.75">
      <c r="A138" s="1">
        <v>2.6404</v>
      </c>
      <c r="B138" s="1">
        <f t="shared" si="1"/>
        <v>64.84108986400001</v>
      </c>
    </row>
    <row r="139" spans="1:2" ht="12.75">
      <c r="A139" s="1">
        <v>2.6331</v>
      </c>
      <c r="B139" s="1">
        <f aca="true" t="shared" si="2" ref="B139:B202">(A139*24.56866)-0.03</f>
        <v>64.661738646</v>
      </c>
    </row>
    <row r="140" spans="1:2" ht="12.75">
      <c r="A140" s="1">
        <v>2.6257</v>
      </c>
      <c r="B140" s="1">
        <f t="shared" si="2"/>
        <v>64.479930562</v>
      </c>
    </row>
    <row r="141" spans="1:2" ht="12.75">
      <c r="A141" s="1">
        <v>2.6245</v>
      </c>
      <c r="B141" s="1">
        <f t="shared" si="2"/>
        <v>64.45044817</v>
      </c>
    </row>
    <row r="142" spans="1:2" ht="12.75">
      <c r="A142" s="1">
        <v>2.6074</v>
      </c>
      <c r="B142" s="1">
        <f t="shared" si="2"/>
        <v>64.030324084</v>
      </c>
    </row>
    <row r="143" spans="1:2" ht="12.75">
      <c r="A143" s="1">
        <v>2.5757</v>
      </c>
      <c r="B143" s="1">
        <f t="shared" si="2"/>
        <v>63.251497562</v>
      </c>
    </row>
    <row r="144" spans="1:2" ht="12.75">
      <c r="A144" s="1">
        <v>2.5281</v>
      </c>
      <c r="B144" s="1">
        <f t="shared" si="2"/>
        <v>62.082029346</v>
      </c>
    </row>
    <row r="145" spans="1:2" ht="12.75">
      <c r="A145" s="1">
        <v>2.4854</v>
      </c>
      <c r="B145" s="1">
        <f t="shared" si="2"/>
        <v>61.032947564</v>
      </c>
    </row>
    <row r="146" spans="1:2" ht="12.75">
      <c r="A146" s="1">
        <v>2.4121</v>
      </c>
      <c r="B146" s="1">
        <f t="shared" si="2"/>
        <v>59.232064786</v>
      </c>
    </row>
    <row r="147" spans="1:2" ht="12.75">
      <c r="A147" s="1">
        <v>2.3547</v>
      </c>
      <c r="B147" s="1">
        <f t="shared" si="2"/>
        <v>57.821823701999996</v>
      </c>
    </row>
    <row r="148" spans="1:2" ht="12.75">
      <c r="A148" s="1">
        <v>2.2974</v>
      </c>
      <c r="B148" s="1">
        <f t="shared" si="2"/>
        <v>56.41403948400001</v>
      </c>
    </row>
    <row r="149" spans="1:2" ht="12.75">
      <c r="A149" s="1">
        <v>2.2253</v>
      </c>
      <c r="B149" s="1">
        <f t="shared" si="2"/>
        <v>54.642639098</v>
      </c>
    </row>
    <row r="150" spans="1:2" ht="12.75">
      <c r="A150" s="1">
        <v>2.1753</v>
      </c>
      <c r="B150" s="1">
        <f t="shared" si="2"/>
        <v>53.414206098</v>
      </c>
    </row>
    <row r="151" spans="1:2" ht="12.75">
      <c r="A151" s="1">
        <v>2.0654</v>
      </c>
      <c r="B151" s="1">
        <f t="shared" si="2"/>
        <v>50.714110364</v>
      </c>
    </row>
    <row r="152" spans="1:2" ht="12.75">
      <c r="A152" s="1">
        <v>1.9348</v>
      </c>
      <c r="B152" s="1">
        <f t="shared" si="2"/>
        <v>47.505443368</v>
      </c>
    </row>
    <row r="153" spans="1:2" ht="12.75">
      <c r="A153" s="1">
        <v>1.8311</v>
      </c>
      <c r="B153" s="1">
        <f t="shared" si="2"/>
        <v>44.957673326</v>
      </c>
    </row>
    <row r="154" spans="1:2" ht="12.75">
      <c r="A154" s="1">
        <v>1.7773</v>
      </c>
      <c r="B154" s="1">
        <f t="shared" si="2"/>
        <v>43.635879418</v>
      </c>
    </row>
    <row r="155" spans="1:2" ht="12.75">
      <c r="A155" s="1">
        <v>1.6223</v>
      </c>
      <c r="B155" s="1">
        <f t="shared" si="2"/>
        <v>39.827737118</v>
      </c>
    </row>
    <row r="156" spans="1:2" ht="12.75">
      <c r="A156" s="1">
        <v>1.4282</v>
      </c>
      <c r="B156" s="1">
        <f t="shared" si="2"/>
        <v>35.058960211999995</v>
      </c>
    </row>
    <row r="157" spans="1:2" ht="12.75">
      <c r="A157" s="1">
        <v>1.261</v>
      </c>
      <c r="B157" s="1">
        <f t="shared" si="2"/>
        <v>30.951080259999998</v>
      </c>
    </row>
    <row r="158" spans="1:2" ht="12.75">
      <c r="A158" s="1">
        <v>1.0205</v>
      </c>
      <c r="B158" s="1">
        <f t="shared" si="2"/>
        <v>25.04231753</v>
      </c>
    </row>
    <row r="159" spans="1:2" ht="12.75">
      <c r="A159" s="1">
        <v>0.82275</v>
      </c>
      <c r="B159" s="1">
        <f t="shared" si="2"/>
        <v>20.183865015</v>
      </c>
    </row>
    <row r="160" spans="1:2" ht="12.75">
      <c r="A160" s="1">
        <v>0.69824</v>
      </c>
      <c r="B160" s="1">
        <f t="shared" si="2"/>
        <v>17.1248211584</v>
      </c>
    </row>
    <row r="161" spans="1:2" ht="12.75">
      <c r="A161" s="1">
        <v>0.57495</v>
      </c>
      <c r="B161" s="1">
        <f t="shared" si="2"/>
        <v>14.095751067</v>
      </c>
    </row>
    <row r="162" spans="1:2" ht="12.75">
      <c r="A162" s="1">
        <v>0.41138</v>
      </c>
      <c r="B162" s="1">
        <f t="shared" si="2"/>
        <v>10.077055350800002</v>
      </c>
    </row>
    <row r="163" spans="1:2" ht="12.75">
      <c r="A163" s="1">
        <v>0.32593</v>
      </c>
      <c r="B163" s="1">
        <f t="shared" si="2"/>
        <v>7.9776633538</v>
      </c>
    </row>
    <row r="164" spans="1:3" ht="12.75">
      <c r="A164" s="1">
        <v>0.21973</v>
      </c>
      <c r="B164" s="1">
        <f t="shared" si="2"/>
        <v>5.3684716618</v>
      </c>
      <c r="C164" t="s">
        <v>162</v>
      </c>
    </row>
    <row r="165" spans="1:2" ht="12.75">
      <c r="A165" s="1">
        <v>0.16724</v>
      </c>
      <c r="B165" s="1">
        <f t="shared" si="2"/>
        <v>4.0788626984</v>
      </c>
    </row>
    <row r="166" spans="1:2" ht="12.75">
      <c r="A166" s="1">
        <v>0.1062</v>
      </c>
      <c r="B166" s="1">
        <f t="shared" si="2"/>
        <v>2.579191692</v>
      </c>
    </row>
    <row r="167" spans="1:2" ht="12.75">
      <c r="A167" s="1">
        <v>0.065918</v>
      </c>
      <c r="B167" s="1">
        <f t="shared" si="2"/>
        <v>1.5895169298800003</v>
      </c>
    </row>
    <row r="168" spans="1:2" ht="12.75">
      <c r="A168" s="1">
        <v>0.050049</v>
      </c>
      <c r="B168" s="1">
        <f t="shared" si="2"/>
        <v>1.1996368643400002</v>
      </c>
    </row>
    <row r="169" spans="1:2" ht="12.75">
      <c r="A169" s="1">
        <v>0.056152</v>
      </c>
      <c r="B169" s="1">
        <f t="shared" si="2"/>
        <v>1.34957939632</v>
      </c>
    </row>
    <row r="170" spans="1:2" ht="12.75">
      <c r="A170" s="1">
        <v>0.041504</v>
      </c>
      <c r="B170" s="1">
        <f t="shared" si="2"/>
        <v>0.98969766464</v>
      </c>
    </row>
    <row r="171" spans="1:2" ht="12.75">
      <c r="A171" s="1">
        <v>0.024414</v>
      </c>
      <c r="B171" s="1">
        <f t="shared" si="2"/>
        <v>0.56981926524</v>
      </c>
    </row>
    <row r="172" spans="1:2" ht="12.75">
      <c r="A172" s="1">
        <v>0.018311</v>
      </c>
      <c r="B172" s="1">
        <f t="shared" si="2"/>
        <v>0.4198767332600001</v>
      </c>
    </row>
    <row r="173" spans="1:2" ht="12.75">
      <c r="A173" s="1">
        <v>0.013428</v>
      </c>
      <c r="B173" s="1">
        <f t="shared" si="2"/>
        <v>0.29990796648000007</v>
      </c>
    </row>
    <row r="174" spans="1:2" ht="12.75">
      <c r="A174" s="1">
        <v>0.010986</v>
      </c>
      <c r="B174" s="1">
        <f t="shared" si="2"/>
        <v>0.23991129875999997</v>
      </c>
    </row>
    <row r="175" spans="1:2" ht="12.75">
      <c r="A175" s="1">
        <v>0</v>
      </c>
      <c r="B175" s="1">
        <f t="shared" si="2"/>
        <v>-0.03</v>
      </c>
    </row>
    <row r="176" spans="1:2" ht="12.75">
      <c r="A176" s="1">
        <v>0.0024414</v>
      </c>
      <c r="B176" s="1">
        <f t="shared" si="2"/>
        <v>0.029981926524000002</v>
      </c>
    </row>
    <row r="177" spans="1:2" ht="12.75">
      <c r="A177" s="1">
        <v>0.0012207</v>
      </c>
      <c r="B177" s="1">
        <f t="shared" si="2"/>
        <v>-9.036737999998379E-06</v>
      </c>
    </row>
    <row r="178" spans="1:2" ht="12.75">
      <c r="A178" s="1">
        <v>-0.0061035</v>
      </c>
      <c r="B178" s="1">
        <f t="shared" si="2"/>
        <v>-0.17995481631000002</v>
      </c>
    </row>
    <row r="179" spans="1:2" ht="12.75">
      <c r="A179" s="1">
        <v>-0.0073242</v>
      </c>
      <c r="B179" s="1">
        <f t="shared" si="2"/>
        <v>-0.20994577957200003</v>
      </c>
    </row>
    <row r="180" spans="1:2" ht="12.75">
      <c r="A180" s="1">
        <v>-0.0036621</v>
      </c>
      <c r="B180" s="1">
        <f t="shared" si="2"/>
        <v>-0.11997288978600001</v>
      </c>
    </row>
    <row r="181" spans="1:2" ht="12.75">
      <c r="A181" s="1">
        <v>-0.0036621</v>
      </c>
      <c r="B181" s="1">
        <f t="shared" si="2"/>
        <v>-0.11997288978600001</v>
      </c>
    </row>
    <row r="182" spans="1:2" ht="12.75">
      <c r="A182" s="1">
        <v>-0.0085449</v>
      </c>
      <c r="B182" s="1">
        <f t="shared" si="2"/>
        <v>-0.239936742834</v>
      </c>
    </row>
    <row r="183" spans="1:2" ht="12.75">
      <c r="A183" s="1">
        <v>-0.0085449</v>
      </c>
      <c r="B183" s="1">
        <f t="shared" si="2"/>
        <v>-0.239936742834</v>
      </c>
    </row>
    <row r="184" spans="1:2" ht="12.75">
      <c r="A184" s="1">
        <v>-0.0048828</v>
      </c>
      <c r="B184" s="1">
        <f t="shared" si="2"/>
        <v>-0.149963853048</v>
      </c>
    </row>
    <row r="185" spans="1:2" ht="12.75">
      <c r="A185" s="1">
        <v>-0.0061035</v>
      </c>
      <c r="B185" s="1">
        <f t="shared" si="2"/>
        <v>-0.17995481631000002</v>
      </c>
    </row>
    <row r="186" spans="1:2" ht="12.75">
      <c r="A186" s="1">
        <v>-0.0085449</v>
      </c>
      <c r="B186" s="1">
        <f t="shared" si="2"/>
        <v>-0.239936742834</v>
      </c>
    </row>
    <row r="187" spans="1:2" ht="12.75">
      <c r="A187" s="1">
        <v>-0.0097656</v>
      </c>
      <c r="B187" s="1">
        <f t="shared" si="2"/>
        <v>-0.26992770609600003</v>
      </c>
    </row>
    <row r="188" spans="1:2" ht="12.75">
      <c r="A188" s="1">
        <v>-0.0036621</v>
      </c>
      <c r="B188" s="1">
        <f t="shared" si="2"/>
        <v>-0.11997288978600001</v>
      </c>
    </row>
    <row r="189" spans="1:2" ht="12.75">
      <c r="A189" s="1">
        <v>-0.0048828</v>
      </c>
      <c r="B189" s="1">
        <f t="shared" si="2"/>
        <v>-0.149963853048</v>
      </c>
    </row>
    <row r="190" spans="1:2" ht="12.75">
      <c r="A190" s="1">
        <v>-0.0097656</v>
      </c>
      <c r="B190" s="1">
        <f t="shared" si="2"/>
        <v>-0.26992770609600003</v>
      </c>
    </row>
    <row r="191" spans="1:2" ht="12.75">
      <c r="A191" s="1">
        <v>-0.0097656</v>
      </c>
      <c r="B191" s="1">
        <f t="shared" si="2"/>
        <v>-0.26992770609600003</v>
      </c>
    </row>
    <row r="192" spans="1:2" ht="12.75">
      <c r="A192" s="1">
        <v>-0.0048828</v>
      </c>
      <c r="B192" s="1">
        <f t="shared" si="2"/>
        <v>-0.149963853048</v>
      </c>
    </row>
    <row r="193" spans="1:2" ht="12.75">
      <c r="A193" s="1">
        <v>-0.0048828</v>
      </c>
      <c r="B193" s="1">
        <f t="shared" si="2"/>
        <v>-0.149963853048</v>
      </c>
    </row>
    <row r="194" spans="1:2" ht="12.75">
      <c r="A194" s="1">
        <v>-0.0097656</v>
      </c>
      <c r="B194" s="1">
        <f t="shared" si="2"/>
        <v>-0.26992770609600003</v>
      </c>
    </row>
    <row r="195" spans="1:2" ht="12.75">
      <c r="A195" s="1">
        <v>-0.010986</v>
      </c>
      <c r="B195" s="1">
        <f t="shared" si="2"/>
        <v>-0.29991129876</v>
      </c>
    </row>
    <row r="196" spans="1:2" ht="12.75">
      <c r="A196" s="1">
        <v>-0.0048828</v>
      </c>
      <c r="B196" s="1">
        <f t="shared" si="2"/>
        <v>-0.149963853048</v>
      </c>
    </row>
    <row r="197" spans="1:2" ht="12.75">
      <c r="A197" s="1">
        <v>-0.0061035</v>
      </c>
      <c r="B197" s="1">
        <f t="shared" si="2"/>
        <v>-0.17995481631000002</v>
      </c>
    </row>
    <row r="198" spans="1:2" ht="12.75">
      <c r="A198" s="1">
        <v>-0.0085449</v>
      </c>
      <c r="B198" s="1">
        <f t="shared" si="2"/>
        <v>-0.239936742834</v>
      </c>
    </row>
    <row r="199" spans="1:2" ht="12.75">
      <c r="A199" s="1">
        <v>-0.0085449</v>
      </c>
      <c r="B199" s="1">
        <f t="shared" si="2"/>
        <v>-0.239936742834</v>
      </c>
    </row>
    <row r="200" spans="1:2" ht="12.75">
      <c r="A200" s="1">
        <v>-0.0024414</v>
      </c>
      <c r="B200" s="1">
        <f t="shared" si="2"/>
        <v>-0.089981926524</v>
      </c>
    </row>
    <row r="201" spans="1:2" ht="12.75">
      <c r="A201" s="1">
        <v>-0.0036621</v>
      </c>
      <c r="B201" s="1">
        <f t="shared" si="2"/>
        <v>-0.11997288978600001</v>
      </c>
    </row>
    <row r="202" spans="1:2" ht="12.75">
      <c r="A202" s="1">
        <v>-0.0085449</v>
      </c>
      <c r="B202" s="1">
        <f t="shared" si="2"/>
        <v>-0.239936742834</v>
      </c>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167</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1" max="1" width="31.140625" style="0" customWidth="1"/>
    <col min="2" max="2" width="19.140625" style="0" customWidth="1"/>
    <col min="3" max="3" width="26.00390625" style="0" customWidth="1"/>
  </cols>
  <sheetData>
    <row r="1" spans="1:4" ht="12.75">
      <c r="A1" s="10" t="s">
        <v>155</v>
      </c>
      <c r="B1" s="11" t="s">
        <v>151</v>
      </c>
      <c r="D1" t="s">
        <v>129</v>
      </c>
    </row>
    <row r="2" ht="12.75">
      <c r="D2" t="s">
        <v>145</v>
      </c>
    </row>
    <row r="3" spans="1:4" ht="12.75">
      <c r="A3" s="7" t="s">
        <v>134</v>
      </c>
      <c r="B3" s="12">
        <v>1</v>
      </c>
      <c r="D3" t="s">
        <v>156</v>
      </c>
    </row>
    <row r="4" spans="1:4" ht="12.75">
      <c r="A4" s="7" t="s">
        <v>135</v>
      </c>
      <c r="B4" s="13">
        <v>1.185</v>
      </c>
      <c r="D4" t="s">
        <v>130</v>
      </c>
    </row>
    <row r="5" spans="1:8" ht="12.75">
      <c r="A5" s="7" t="s">
        <v>136</v>
      </c>
      <c r="B5" s="13">
        <v>0.34</v>
      </c>
      <c r="H5" t="s">
        <v>139</v>
      </c>
    </row>
    <row r="6" spans="1:4" ht="12.75">
      <c r="A6" s="7" t="s">
        <v>137</v>
      </c>
      <c r="B6" s="13">
        <v>3.68</v>
      </c>
      <c r="D6" s="14" t="s">
        <v>146</v>
      </c>
    </row>
    <row r="7" spans="1:14" ht="12.75">
      <c r="A7" s="7" t="s">
        <v>138</v>
      </c>
      <c r="B7" s="12">
        <v>0.304</v>
      </c>
      <c r="L7" t="s">
        <v>126</v>
      </c>
      <c r="M7" t="s">
        <v>127</v>
      </c>
      <c r="N7" t="s">
        <v>132</v>
      </c>
    </row>
    <row r="8" spans="5:17" ht="12.75">
      <c r="E8" t="s">
        <v>124</v>
      </c>
      <c r="F8" t="s">
        <v>118</v>
      </c>
      <c r="G8" t="s">
        <v>103</v>
      </c>
      <c r="H8" t="s">
        <v>111</v>
      </c>
      <c r="I8" t="s">
        <v>109</v>
      </c>
      <c r="J8" t="s">
        <v>112</v>
      </c>
      <c r="K8" t="s">
        <v>114</v>
      </c>
      <c r="L8" t="s">
        <v>112</v>
      </c>
      <c r="M8" t="s">
        <v>115</v>
      </c>
      <c r="N8" t="s">
        <v>116</v>
      </c>
      <c r="O8" t="s">
        <v>119</v>
      </c>
      <c r="P8" t="s">
        <v>122</v>
      </c>
      <c r="Q8" t="s">
        <v>21</v>
      </c>
    </row>
    <row r="9" spans="4:16" ht="12.75">
      <c r="D9" s="15" t="s">
        <v>108</v>
      </c>
      <c r="E9" t="s">
        <v>128</v>
      </c>
      <c r="G9" t="s">
        <v>6</v>
      </c>
      <c r="I9" t="s">
        <v>117</v>
      </c>
      <c r="J9" t="s">
        <v>125</v>
      </c>
      <c r="K9" t="s">
        <v>110</v>
      </c>
      <c r="L9" t="s">
        <v>113</v>
      </c>
      <c r="M9" t="s">
        <v>131</v>
      </c>
      <c r="N9" t="s">
        <v>110</v>
      </c>
      <c r="O9" t="s">
        <v>120</v>
      </c>
      <c r="P9" t="s">
        <v>123</v>
      </c>
    </row>
    <row r="10" spans="1:17" ht="12.75">
      <c r="A10" t="s">
        <v>140</v>
      </c>
      <c r="B10" s="16">
        <f>(($B$4-$B$5))/29</f>
        <v>0.02913793103448276</v>
      </c>
      <c r="C10" s="17" t="s">
        <v>142</v>
      </c>
      <c r="D10" s="15">
        <v>0</v>
      </c>
      <c r="E10" s="1">
        <f>D10*$B$10</f>
        <v>0</v>
      </c>
      <c r="F10">
        <f>B4</f>
        <v>1.185</v>
      </c>
      <c r="G10" s="1">
        <f>$B6-E10</f>
        <v>3.68</v>
      </c>
      <c r="H10" s="3">
        <f>$B5+E10</f>
        <v>0.34</v>
      </c>
      <c r="I10" s="2">
        <f>((F10-E10)*(PI())*G10)</f>
        <v>13.699857243774371</v>
      </c>
      <c r="J10" s="2">
        <f>((F10/2)^2)*PI()</f>
        <v>1.1028757359967818</v>
      </c>
      <c r="K10" s="2">
        <f>((H10/2)^2)*PI()</f>
        <v>0.09079202768874504</v>
      </c>
      <c r="L10" s="2">
        <f>J10-K10</f>
        <v>1.0120837083080367</v>
      </c>
      <c r="M10" s="2">
        <f>(H10*PI())*G10</f>
        <v>3.93076072817155</v>
      </c>
      <c r="N10" s="2">
        <f>(L10*2)+I10+M10</f>
        <v>19.654785388561994</v>
      </c>
      <c r="O10" s="2">
        <f>N10*B3</f>
        <v>19.654785388561994</v>
      </c>
      <c r="P10" s="18">
        <f>(F10-H10)/2</f>
        <v>0.4225</v>
      </c>
      <c r="Q10" s="2">
        <f>O10/B12</f>
        <v>270.789149065097</v>
      </c>
    </row>
    <row r="11" spans="1:17" ht="12.75">
      <c r="A11" t="s">
        <v>104</v>
      </c>
      <c r="B11" s="1">
        <f>$O$10</f>
        <v>19.654785388561994</v>
      </c>
      <c r="C11" s="17" t="s">
        <v>143</v>
      </c>
      <c r="D11" s="15">
        <v>1</v>
      </c>
      <c r="E11" s="1">
        <f>D11*B10</f>
        <v>0.02913793103448276</v>
      </c>
      <c r="F11">
        <f>B4</f>
        <v>1.185</v>
      </c>
      <c r="G11" s="1">
        <f>$B6-E11</f>
        <v>3.6508620689655173</v>
      </c>
      <c r="H11" s="3">
        <f>$B5+E11</f>
        <v>0.3691379310344828</v>
      </c>
      <c r="I11" s="2">
        <f aca="true" t="shared" si="0" ref="I11:I39">((F11-E11)*(PI())*G11)</f>
        <v>13.257184799172919</v>
      </c>
      <c r="J11" s="2">
        <f aca="true" t="shared" si="1" ref="J11:J38">((F11/2)^2)*PI()</f>
        <v>1.1028757359967818</v>
      </c>
      <c r="K11" s="2">
        <f aca="true" t="shared" si="2" ref="K11:K38">((H11/2)^2)*PI()</f>
        <v>0.10702056238503148</v>
      </c>
      <c r="L11" s="2">
        <f aca="true" t="shared" si="3" ref="L11:L38">J11-K11</f>
        <v>0.9958551736117504</v>
      </c>
      <c r="M11" s="2">
        <f aca="true" t="shared" si="4" ref="M11:M38">(H11*PI())*G11</f>
        <v>4.2338354199029276</v>
      </c>
      <c r="N11" s="2">
        <f aca="true" t="shared" si="5" ref="N11:N39">(L11*2)+I11+M11</f>
        <v>19.482730566299345</v>
      </c>
      <c r="O11" s="2">
        <f>N11*B3</f>
        <v>19.482730566299345</v>
      </c>
      <c r="P11" s="18">
        <f aca="true" t="shared" si="6" ref="P11:P39">(F11-H11)/2</f>
        <v>0.40793103448275864</v>
      </c>
      <c r="Q11" s="2">
        <f>O11/B12</f>
        <v>268.41870451472494</v>
      </c>
    </row>
    <row r="12" spans="1:17" ht="12.75">
      <c r="A12" t="s">
        <v>107</v>
      </c>
      <c r="B12" s="1">
        <f>((B7/2)^2)*PI()</f>
        <v>0.07258335666853857</v>
      </c>
      <c r="C12" s="14" t="s">
        <v>144</v>
      </c>
      <c r="D12" s="15">
        <v>2</v>
      </c>
      <c r="E12" s="1">
        <f>D12*B10</f>
        <v>0.05827586206896552</v>
      </c>
      <c r="F12">
        <f>B4</f>
        <v>1.185</v>
      </c>
      <c r="G12" s="1">
        <f>$B6-E12</f>
        <v>3.6217241379310345</v>
      </c>
      <c r="H12" s="3">
        <f>$B5+E12</f>
        <v>0.39827586206896554</v>
      </c>
      <c r="I12" s="2">
        <f t="shared" si="0"/>
        <v>12.819846898434676</v>
      </c>
      <c r="J12" s="2">
        <f t="shared" si="1"/>
        <v>1.1028757359967818</v>
      </c>
      <c r="K12" s="2">
        <f t="shared" si="2"/>
        <v>0.12458273304712021</v>
      </c>
      <c r="L12" s="2">
        <f t="shared" si="3"/>
        <v>0.9782930029496616</v>
      </c>
      <c r="M12" s="2">
        <f t="shared" si="4"/>
        <v>4.531575567771095</v>
      </c>
      <c r="N12" s="2">
        <f t="shared" si="5"/>
        <v>19.308008472105094</v>
      </c>
      <c r="O12" s="2">
        <f>N12*B3</f>
        <v>19.308008472105094</v>
      </c>
      <c r="P12" s="18">
        <f t="shared" si="6"/>
        <v>0.3933620689655173</v>
      </c>
      <c r="Q12" s="2">
        <f>O12/B12</f>
        <v>266.0115122572472</v>
      </c>
    </row>
    <row r="13" spans="1:17" ht="12.75">
      <c r="A13" t="s">
        <v>149</v>
      </c>
      <c r="B13" s="1">
        <f>((B5/2)^2)*PI()</f>
        <v>0.09079202768874504</v>
      </c>
      <c r="D13" s="15">
        <v>3</v>
      </c>
      <c r="E13" s="1">
        <f>D13*B10</f>
        <v>0.08741379310344828</v>
      </c>
      <c r="F13">
        <f>B4</f>
        <v>1.185</v>
      </c>
      <c r="G13" s="1">
        <f>$B6-E13</f>
        <v>3.5925862068965517</v>
      </c>
      <c r="H13" s="3">
        <f>$B5+E13</f>
        <v>0.4274137931034483</v>
      </c>
      <c r="I13" s="2">
        <f t="shared" si="0"/>
        <v>12.387843541559645</v>
      </c>
      <c r="J13" s="2">
        <f t="shared" si="1"/>
        <v>1.1028757359967818</v>
      </c>
      <c r="K13" s="2">
        <f t="shared" si="2"/>
        <v>0.14347853967501126</v>
      </c>
      <c r="L13" s="2">
        <f t="shared" si="3"/>
        <v>0.9593971963217706</v>
      </c>
      <c r="M13" s="2">
        <f t="shared" si="4"/>
        <v>4.823981171776054</v>
      </c>
      <c r="N13" s="2">
        <f t="shared" si="5"/>
        <v>19.13061910597924</v>
      </c>
      <c r="O13" s="2">
        <f>N13*B3</f>
        <v>19.13061910597924</v>
      </c>
      <c r="P13" s="18">
        <f t="shared" si="6"/>
        <v>0.3787931034482759</v>
      </c>
      <c r="Q13" s="2">
        <f>O13/B12</f>
        <v>263.5675722926638</v>
      </c>
    </row>
    <row r="14" spans="1:17" ht="12.75">
      <c r="A14" t="s">
        <v>150</v>
      </c>
      <c r="B14">
        <f>B13/B12</f>
        <v>1.2508656509695295</v>
      </c>
      <c r="D14" s="15">
        <v>4</v>
      </c>
      <c r="E14" s="1">
        <f>D14*B10</f>
        <v>0.11655172413793104</v>
      </c>
      <c r="F14">
        <f>B4</f>
        <v>1.185</v>
      </c>
      <c r="G14" s="1">
        <f>$B6-E14</f>
        <v>3.563448275862069</v>
      </c>
      <c r="H14" s="3">
        <f>$B5+E14</f>
        <v>0.45655172413793105</v>
      </c>
      <c r="I14" s="2">
        <f t="shared" si="0"/>
        <v>11.961174728547821</v>
      </c>
      <c r="J14" s="2">
        <f t="shared" si="1"/>
        <v>1.1028757359967818</v>
      </c>
      <c r="K14" s="2">
        <f t="shared" si="2"/>
        <v>0.16370798226870456</v>
      </c>
      <c r="L14" s="2">
        <f t="shared" si="3"/>
        <v>0.9391677537280773</v>
      </c>
      <c r="M14" s="2">
        <f t="shared" si="4"/>
        <v>5.111052231917804</v>
      </c>
      <c r="N14" s="2">
        <f t="shared" si="5"/>
        <v>18.95056246792178</v>
      </c>
      <c r="O14" s="2">
        <f>N14*B3</f>
        <v>18.95056246792178</v>
      </c>
      <c r="P14" s="18">
        <f t="shared" si="6"/>
        <v>0.3642241379310345</v>
      </c>
      <c r="Q14" s="2">
        <f>O14/B12</f>
        <v>261.0868846209747</v>
      </c>
    </row>
    <row r="15" spans="1:17" ht="12.75">
      <c r="A15" t="s">
        <v>105</v>
      </c>
      <c r="B15" s="15">
        <f>Q10</f>
        <v>270.789149065097</v>
      </c>
      <c r="D15" s="15">
        <v>5</v>
      </c>
      <c r="E15" s="1">
        <f>D15*B10</f>
        <v>0.1456896551724138</v>
      </c>
      <c r="F15">
        <f>B4</f>
        <v>1.185</v>
      </c>
      <c r="G15" s="1">
        <f>$B6-E15</f>
        <v>3.5343103448275865</v>
      </c>
      <c r="H15" s="3">
        <f>$B5+E15</f>
        <v>0.4856896551724138</v>
      </c>
      <c r="I15" s="2">
        <f t="shared" si="0"/>
        <v>11.539840459399207</v>
      </c>
      <c r="J15" s="2">
        <f t="shared" si="1"/>
        <v>1.1028757359967818</v>
      </c>
      <c r="K15" s="2">
        <f t="shared" si="2"/>
        <v>0.1852710608282002</v>
      </c>
      <c r="L15" s="2">
        <f t="shared" si="3"/>
        <v>0.9176046751685816</v>
      </c>
      <c r="M15" s="2">
        <f t="shared" si="4"/>
        <v>5.392788748196344</v>
      </c>
      <c r="N15" s="2">
        <f t="shared" si="5"/>
        <v>18.767838557932713</v>
      </c>
      <c r="O15" s="2">
        <f>N15*B3</f>
        <v>18.767838557932713</v>
      </c>
      <c r="P15" s="18">
        <f t="shared" si="6"/>
        <v>0.3496551724137931</v>
      </c>
      <c r="Q15" s="2">
        <f>O15/B12</f>
        <v>258.56944924217976</v>
      </c>
    </row>
    <row r="16" spans="1:17" ht="12.75">
      <c r="A16" t="s">
        <v>106</v>
      </c>
      <c r="B16" s="15">
        <f>MAX(Q10:Q39)</f>
        <v>270.789149065097</v>
      </c>
      <c r="D16" s="15">
        <v>6</v>
      </c>
      <c r="E16" s="1">
        <f>D16*B10</f>
        <v>0.17482758620689656</v>
      </c>
      <c r="F16">
        <f>B4</f>
        <v>1.185</v>
      </c>
      <c r="G16" s="1">
        <f>$B6-E16</f>
        <v>3.5051724137931037</v>
      </c>
      <c r="H16" s="3">
        <f>$B5+E16</f>
        <v>0.5148275862068966</v>
      </c>
      <c r="I16" s="2">
        <f t="shared" si="0"/>
        <v>11.1238407341138</v>
      </c>
      <c r="J16" s="2">
        <f t="shared" si="1"/>
        <v>1.1028757359967818</v>
      </c>
      <c r="K16" s="2">
        <f t="shared" si="2"/>
        <v>0.20816777535349812</v>
      </c>
      <c r="L16" s="2">
        <f t="shared" si="3"/>
        <v>0.8947079606432837</v>
      </c>
      <c r="M16" s="2">
        <f t="shared" si="4"/>
        <v>5.6691907206116765</v>
      </c>
      <c r="N16" s="2">
        <f t="shared" si="5"/>
        <v>18.582447376012045</v>
      </c>
      <c r="O16" s="2">
        <f>N16*B3</f>
        <v>18.582447376012045</v>
      </c>
      <c r="P16" s="18">
        <f t="shared" si="6"/>
        <v>0.3350862068965517</v>
      </c>
      <c r="Q16" s="2">
        <f>O16/B12</f>
        <v>256.0152661562792</v>
      </c>
    </row>
    <row r="17" spans="1:17" ht="12.75">
      <c r="A17" t="s">
        <v>141</v>
      </c>
      <c r="B17" s="15">
        <f>$Q$39</f>
        <v>187.12668801939063</v>
      </c>
      <c r="D17" s="15">
        <v>7</v>
      </c>
      <c r="E17" s="1">
        <f>D17*B10</f>
        <v>0.20396551724137932</v>
      </c>
      <c r="F17">
        <f>B4</f>
        <v>1.185</v>
      </c>
      <c r="G17" s="1">
        <f>$B6-E17</f>
        <v>3.476034482758621</v>
      </c>
      <c r="H17" s="3">
        <f>$B5+E17</f>
        <v>0.5439655172413793</v>
      </c>
      <c r="I17" s="2">
        <f t="shared" si="0"/>
        <v>10.713175552691604</v>
      </c>
      <c r="J17" s="2">
        <f t="shared" si="1"/>
        <v>1.1028757359967818</v>
      </c>
      <c r="K17" s="2">
        <f t="shared" si="2"/>
        <v>0.23239812584459824</v>
      </c>
      <c r="L17" s="2">
        <f t="shared" si="3"/>
        <v>0.8704776101521836</v>
      </c>
      <c r="M17" s="2">
        <f t="shared" si="4"/>
        <v>5.940258149163799</v>
      </c>
      <c r="N17" s="2">
        <f t="shared" si="5"/>
        <v>18.39438892215977</v>
      </c>
      <c r="O17" s="2">
        <f>N17*B3</f>
        <v>18.39438892215977</v>
      </c>
      <c r="P17" s="18">
        <f t="shared" si="6"/>
        <v>0.32051724137931037</v>
      </c>
      <c r="Q17" s="2">
        <f>O17/B12</f>
        <v>253.42433536327292</v>
      </c>
    </row>
    <row r="18" spans="2:17" ht="12.75">
      <c r="B18" s="1"/>
      <c r="D18" s="15">
        <v>8</v>
      </c>
      <c r="E18" s="1">
        <f>D18*B10</f>
        <v>0.23310344827586207</v>
      </c>
      <c r="F18">
        <f>B4</f>
        <v>1.185</v>
      </c>
      <c r="G18" s="1">
        <f>$B6-E18</f>
        <v>3.446896551724138</v>
      </c>
      <c r="H18" s="3">
        <f>$B5+E18</f>
        <v>0.5731034482758621</v>
      </c>
      <c r="I18" s="2">
        <f t="shared" si="0"/>
        <v>10.307844915132618</v>
      </c>
      <c r="J18" s="2">
        <f t="shared" si="1"/>
        <v>1.1028757359967818</v>
      </c>
      <c r="K18" s="2">
        <f t="shared" si="2"/>
        <v>0.2579621123015008</v>
      </c>
      <c r="L18" s="2">
        <f t="shared" si="3"/>
        <v>0.844913623695281</v>
      </c>
      <c r="M18" s="2">
        <f t="shared" si="4"/>
        <v>6.205991033852711</v>
      </c>
      <c r="N18" s="2">
        <f t="shared" si="5"/>
        <v>18.203663196375892</v>
      </c>
      <c r="O18" s="2">
        <f>N18*B3</f>
        <v>18.203663196375892</v>
      </c>
      <c r="P18" s="18">
        <f t="shared" si="6"/>
        <v>0.30594827586206896</v>
      </c>
      <c r="Q18" s="2">
        <f>O18/B12</f>
        <v>250.79665686316093</v>
      </c>
    </row>
    <row r="19" spans="1:17" ht="12.75">
      <c r="A19" t="s">
        <v>133</v>
      </c>
      <c r="B19" s="1">
        <f>((B4*3)+B5)/2</f>
        <v>1.9475</v>
      </c>
      <c r="C19" s="17" t="s">
        <v>148</v>
      </c>
      <c r="D19" s="15">
        <v>9</v>
      </c>
      <c r="E19" s="1">
        <f>D19*B10</f>
        <v>0.26224137931034486</v>
      </c>
      <c r="F19">
        <f>B4</f>
        <v>1.185</v>
      </c>
      <c r="G19" s="1">
        <f>$B6-E19</f>
        <v>3.4177586206896553</v>
      </c>
      <c r="H19" s="3">
        <f>$B5+E19</f>
        <v>0.6022413793103449</v>
      </c>
      <c r="I19" s="2">
        <f t="shared" si="0"/>
        <v>9.907848821436838</v>
      </c>
      <c r="J19" s="2">
        <f t="shared" si="1"/>
        <v>1.1028757359967818</v>
      </c>
      <c r="K19" s="2">
        <f t="shared" si="2"/>
        <v>0.2848597347242056</v>
      </c>
      <c r="L19" s="2">
        <f t="shared" si="3"/>
        <v>0.8180160012725761</v>
      </c>
      <c r="M19" s="2">
        <f t="shared" si="4"/>
        <v>6.466389374678416</v>
      </c>
      <c r="N19" s="2">
        <f t="shared" si="5"/>
        <v>18.010270198660407</v>
      </c>
      <c r="O19" s="2">
        <f>N19*B3</f>
        <v>18.010270198660407</v>
      </c>
      <c r="P19" s="18">
        <f t="shared" si="6"/>
        <v>0.29137931034482756</v>
      </c>
      <c r="Q19" s="2">
        <f>O19/B12</f>
        <v>248.1322306559432</v>
      </c>
    </row>
    <row r="20" spans="4:17" ht="12.75">
      <c r="D20" s="15">
        <v>10</v>
      </c>
      <c r="E20" s="1">
        <f>D20*B10</f>
        <v>0.2913793103448276</v>
      </c>
      <c r="F20">
        <f>B4</f>
        <v>1.185</v>
      </c>
      <c r="G20" s="1">
        <f>$B6-E20</f>
        <v>3.3886206896551725</v>
      </c>
      <c r="H20" s="3">
        <f>$B5+E20</f>
        <v>0.6313793103448276</v>
      </c>
      <c r="I20" s="2">
        <f t="shared" si="0"/>
        <v>9.51318727160427</v>
      </c>
      <c r="J20" s="2">
        <f t="shared" si="1"/>
        <v>1.1028757359967818</v>
      </c>
      <c r="K20" s="2">
        <f t="shared" si="2"/>
        <v>0.3130909931127126</v>
      </c>
      <c r="L20" s="2">
        <f t="shared" si="3"/>
        <v>0.7897847428840692</v>
      </c>
      <c r="M20" s="2">
        <f t="shared" si="4"/>
        <v>6.72145317164091</v>
      </c>
      <c r="N20" s="2">
        <f t="shared" si="5"/>
        <v>17.814209929013316</v>
      </c>
      <c r="O20" s="2">
        <f>N20*B3</f>
        <v>17.814209929013316</v>
      </c>
      <c r="P20" s="18">
        <f t="shared" si="6"/>
        <v>0.2768103448275862</v>
      </c>
      <c r="Q20" s="2">
        <f>O20/B12</f>
        <v>245.43105674161976</v>
      </c>
    </row>
    <row r="21" spans="4:17" ht="12.75">
      <c r="D21" s="15">
        <v>11</v>
      </c>
      <c r="E21" s="1">
        <f>D21*B10</f>
        <v>0.32051724137931037</v>
      </c>
      <c r="F21">
        <f>B4</f>
        <v>1.185</v>
      </c>
      <c r="G21" s="1">
        <f>$B6-E21</f>
        <v>3.3594827586206897</v>
      </c>
      <c r="H21" s="3">
        <f>$B5+E21</f>
        <v>0.6605172413793103</v>
      </c>
      <c r="I21" s="2">
        <f t="shared" si="0"/>
        <v>9.12386026563491</v>
      </c>
      <c r="J21" s="2">
        <f t="shared" si="1"/>
        <v>1.1028757359967818</v>
      </c>
      <c r="K21" s="2">
        <f t="shared" si="2"/>
        <v>0.3426558874670219</v>
      </c>
      <c r="L21" s="2">
        <f t="shared" si="3"/>
        <v>0.7602198485297599</v>
      </c>
      <c r="M21" s="2">
        <f t="shared" si="4"/>
        <v>6.971182424740196</v>
      </c>
      <c r="N21" s="2">
        <f t="shared" si="5"/>
        <v>17.615482387434625</v>
      </c>
      <c r="O21" s="2">
        <f>N21*B3</f>
        <v>17.615482387434625</v>
      </c>
      <c r="P21" s="18">
        <f t="shared" si="6"/>
        <v>0.26224137931034486</v>
      </c>
      <c r="Q21" s="2">
        <f>O21/B12</f>
        <v>242.69313512019068</v>
      </c>
    </row>
    <row r="22" spans="4:17" ht="12.75">
      <c r="D22" s="15">
        <v>12</v>
      </c>
      <c r="E22" s="1">
        <f>D22*B10</f>
        <v>0.3496551724137931</v>
      </c>
      <c r="F22">
        <f>B4</f>
        <v>1.185</v>
      </c>
      <c r="G22" s="1">
        <f>$B6-E22</f>
        <v>3.330344827586207</v>
      </c>
      <c r="H22" s="3">
        <f>$B5+E22</f>
        <v>0.6896551724137931</v>
      </c>
      <c r="I22" s="2">
        <f t="shared" si="0"/>
        <v>8.73986780352876</v>
      </c>
      <c r="J22" s="2">
        <f t="shared" si="1"/>
        <v>1.1028757359967818</v>
      </c>
      <c r="K22" s="2">
        <f t="shared" si="2"/>
        <v>0.3735544177871336</v>
      </c>
      <c r="L22" s="2">
        <f t="shared" si="3"/>
        <v>0.7293213182096482</v>
      </c>
      <c r="M22" s="2">
        <f t="shared" si="4"/>
        <v>7.2155771339762715</v>
      </c>
      <c r="N22" s="2">
        <f t="shared" si="5"/>
        <v>17.414087573924327</v>
      </c>
      <c r="O22" s="2">
        <f>N22*B3</f>
        <v>17.414087573924327</v>
      </c>
      <c r="P22" s="18">
        <f t="shared" si="6"/>
        <v>0.24767241379310345</v>
      </c>
      <c r="Q22" s="2">
        <f>O22/B12</f>
        <v>239.91846579165585</v>
      </c>
    </row>
    <row r="23" spans="4:17" ht="12.75">
      <c r="D23" s="15">
        <v>13</v>
      </c>
      <c r="E23" s="1">
        <f>D23*B10</f>
        <v>0.3787931034482759</v>
      </c>
      <c r="F23">
        <f>B4</f>
        <v>1.185</v>
      </c>
      <c r="G23" s="1">
        <f>$B6-E23</f>
        <v>3.301206896551724</v>
      </c>
      <c r="H23" s="3">
        <f>$B5+E23</f>
        <v>0.718793103448276</v>
      </c>
      <c r="I23" s="2">
        <f t="shared" si="0"/>
        <v>8.361209885285817</v>
      </c>
      <c r="J23" s="2">
        <f t="shared" si="1"/>
        <v>1.1028757359967818</v>
      </c>
      <c r="K23" s="2">
        <f t="shared" si="2"/>
        <v>0.40578658407304763</v>
      </c>
      <c r="L23" s="2">
        <f t="shared" si="3"/>
        <v>0.6970891519237341</v>
      </c>
      <c r="M23" s="2">
        <f t="shared" si="4"/>
        <v>7.45463729934914</v>
      </c>
      <c r="N23" s="2">
        <f t="shared" si="5"/>
        <v>17.210025488482426</v>
      </c>
      <c r="O23" s="2">
        <f>N23*B3</f>
        <v>17.210025488482426</v>
      </c>
      <c r="P23" s="18">
        <f t="shared" si="6"/>
        <v>0.23310344827586205</v>
      </c>
      <c r="Q23" s="2">
        <f>O23/B12</f>
        <v>237.10704875601533</v>
      </c>
    </row>
    <row r="24" spans="4:17" ht="12.75">
      <c r="D24" s="15">
        <v>14</v>
      </c>
      <c r="E24" s="1">
        <f>D24*B10</f>
        <v>0.40793103448275864</v>
      </c>
      <c r="F24">
        <f>B4</f>
        <v>1.185</v>
      </c>
      <c r="G24" s="1">
        <f>$B6-E24</f>
        <v>3.2720689655172417</v>
      </c>
      <c r="H24" s="3">
        <f>$B5+E24</f>
        <v>0.7479310344827587</v>
      </c>
      <c r="I24" s="2">
        <f t="shared" si="0"/>
        <v>7.987886510906086</v>
      </c>
      <c r="J24" s="2">
        <f t="shared" si="1"/>
        <v>1.1028757359967818</v>
      </c>
      <c r="K24" s="2">
        <f t="shared" si="2"/>
        <v>0.43935238632476376</v>
      </c>
      <c r="L24" s="2">
        <f t="shared" si="3"/>
        <v>0.6635233496720181</v>
      </c>
      <c r="M24" s="2">
        <f t="shared" si="4"/>
        <v>7.688362920858798</v>
      </c>
      <c r="N24" s="2">
        <f t="shared" si="5"/>
        <v>17.003296131108918</v>
      </c>
      <c r="O24" s="2">
        <f>N24*B3</f>
        <v>17.003296131108918</v>
      </c>
      <c r="P24" s="18">
        <f t="shared" si="6"/>
        <v>0.2185344827586207</v>
      </c>
      <c r="Q24" s="2">
        <f>O24/B12</f>
        <v>234.25888401326907</v>
      </c>
    </row>
    <row r="25" spans="4:17" ht="12.75">
      <c r="D25" s="15">
        <v>15</v>
      </c>
      <c r="E25" s="1">
        <f>D25*B10</f>
        <v>0.4370689655172414</v>
      </c>
      <c r="F25">
        <f>B4</f>
        <v>1.185</v>
      </c>
      <c r="G25" s="1">
        <f>$B6-E25</f>
        <v>3.242931034482759</v>
      </c>
      <c r="H25" s="3">
        <f>$B5+E25</f>
        <v>0.7770689655172414</v>
      </c>
      <c r="I25" s="2">
        <f t="shared" si="0"/>
        <v>7.619897680389563</v>
      </c>
      <c r="J25" s="2">
        <f t="shared" si="1"/>
        <v>1.1028757359967818</v>
      </c>
      <c r="K25" s="2">
        <f t="shared" si="2"/>
        <v>0.4742518245422822</v>
      </c>
      <c r="L25" s="2">
        <f t="shared" si="3"/>
        <v>0.6286239114544996</v>
      </c>
      <c r="M25" s="2">
        <f t="shared" si="4"/>
        <v>7.916753998505246</v>
      </c>
      <c r="N25" s="2">
        <f t="shared" si="5"/>
        <v>16.793899501803807</v>
      </c>
      <c r="O25" s="2">
        <f>N25*B3</f>
        <v>16.793899501803807</v>
      </c>
      <c r="P25" s="18">
        <f t="shared" si="6"/>
        <v>0.20396551724137935</v>
      </c>
      <c r="Q25" s="2">
        <f>O25/B12</f>
        <v>231.37397156341714</v>
      </c>
    </row>
    <row r="26" spans="4:17" ht="12.75">
      <c r="D26" s="15">
        <v>16</v>
      </c>
      <c r="E26" s="1">
        <f>D26*B10</f>
        <v>0.46620689655172415</v>
      </c>
      <c r="F26">
        <f>B4</f>
        <v>1.185</v>
      </c>
      <c r="G26" s="1">
        <f>$B6-E26</f>
        <v>3.213793103448276</v>
      </c>
      <c r="H26" s="3">
        <f>$B5+E26</f>
        <v>0.8062068965517242</v>
      </c>
      <c r="I26" s="2">
        <f t="shared" si="0"/>
        <v>7.257243393736251</v>
      </c>
      <c r="J26" s="2">
        <f t="shared" si="1"/>
        <v>1.1028757359967818</v>
      </c>
      <c r="K26" s="2">
        <f t="shared" si="2"/>
        <v>0.510484898725603</v>
      </c>
      <c r="L26" s="2">
        <f t="shared" si="3"/>
        <v>0.5923908372711788</v>
      </c>
      <c r="M26" s="2">
        <f t="shared" si="4"/>
        <v>8.139810532288486</v>
      </c>
      <c r="N26" s="2">
        <f t="shared" si="5"/>
        <v>16.581835600567096</v>
      </c>
      <c r="O26" s="2">
        <f>N26*B3</f>
        <v>16.581835600567096</v>
      </c>
      <c r="P26" s="18">
        <f t="shared" si="6"/>
        <v>0.18939655172413794</v>
      </c>
      <c r="Q26" s="2">
        <f>O26/B12</f>
        <v>228.45231140645956</v>
      </c>
    </row>
    <row r="27" spans="4:17" ht="12.75">
      <c r="D27" s="15">
        <v>17</v>
      </c>
      <c r="E27" s="1">
        <f>D27*B10</f>
        <v>0.4953448275862069</v>
      </c>
      <c r="F27">
        <f>B4</f>
        <v>1.185</v>
      </c>
      <c r="G27" s="1">
        <f>$B6-E27</f>
        <v>3.1846551724137933</v>
      </c>
      <c r="H27" s="3">
        <f>$B5+E27</f>
        <v>0.835344827586207</v>
      </c>
      <c r="I27" s="2">
        <f t="shared" si="0"/>
        <v>6.899923650946144</v>
      </c>
      <c r="J27" s="2">
        <f t="shared" si="1"/>
        <v>1.1028757359967818</v>
      </c>
      <c r="K27" s="2">
        <f t="shared" si="2"/>
        <v>0.5480516088747261</v>
      </c>
      <c r="L27" s="2">
        <f t="shared" si="3"/>
        <v>0.5548241271220556</v>
      </c>
      <c r="M27" s="2">
        <f t="shared" si="4"/>
        <v>8.357532522208519</v>
      </c>
      <c r="N27" s="2">
        <f t="shared" si="5"/>
        <v>16.367104427398775</v>
      </c>
      <c r="O27" s="2">
        <f>N27*B3</f>
        <v>16.367104427398775</v>
      </c>
      <c r="P27" s="18">
        <f t="shared" si="6"/>
        <v>0.17482758620689653</v>
      </c>
      <c r="Q27" s="2">
        <f>O27/B12</f>
        <v>225.49390354239617</v>
      </c>
    </row>
    <row r="28" spans="4:17" ht="12.75">
      <c r="D28" s="15">
        <v>18</v>
      </c>
      <c r="E28" s="1">
        <f>D28*B10</f>
        <v>0.5244827586206897</v>
      </c>
      <c r="F28">
        <f>B4</f>
        <v>1.185</v>
      </c>
      <c r="G28" s="1">
        <f>$B6-E28</f>
        <v>3.1555172413793104</v>
      </c>
      <c r="H28" s="3">
        <f>$B5+E28</f>
        <v>0.8644827586206898</v>
      </c>
      <c r="I28" s="2">
        <f t="shared" si="0"/>
        <v>6.547938452019248</v>
      </c>
      <c r="J28" s="2">
        <f t="shared" si="1"/>
        <v>1.1028757359967818</v>
      </c>
      <c r="K28" s="2">
        <f t="shared" si="2"/>
        <v>0.5869519549896517</v>
      </c>
      <c r="L28" s="2">
        <f t="shared" si="3"/>
        <v>0.5159237810071301</v>
      </c>
      <c r="M28" s="2">
        <f t="shared" si="4"/>
        <v>8.56991996826534</v>
      </c>
      <c r="N28" s="2">
        <f t="shared" si="5"/>
        <v>16.149705982298848</v>
      </c>
      <c r="O28" s="2">
        <f>N28*B3</f>
        <v>16.149705982298848</v>
      </c>
      <c r="P28" s="18">
        <f t="shared" si="6"/>
        <v>0.16025862068965513</v>
      </c>
      <c r="Q28" s="2">
        <f>O28/B12</f>
        <v>222.49874797122706</v>
      </c>
    </row>
    <row r="29" spans="4:17" ht="12.75">
      <c r="D29" s="15">
        <v>19</v>
      </c>
      <c r="E29" s="1">
        <f>D29*B10</f>
        <v>0.5536206896551724</v>
      </c>
      <c r="F29">
        <f>B4</f>
        <v>1.185</v>
      </c>
      <c r="G29" s="1">
        <f>$B6-E29</f>
        <v>3.1263793103448276</v>
      </c>
      <c r="H29" s="3">
        <f>$B5+E29</f>
        <v>0.8936206896551724</v>
      </c>
      <c r="I29" s="2">
        <f t="shared" si="0"/>
        <v>6.201287796955562</v>
      </c>
      <c r="J29" s="2">
        <f t="shared" si="1"/>
        <v>1.1028757359967818</v>
      </c>
      <c r="K29" s="2">
        <f t="shared" si="2"/>
        <v>0.6271859370703792</v>
      </c>
      <c r="L29" s="2">
        <f t="shared" si="3"/>
        <v>0.4756897989264026</v>
      </c>
      <c r="M29" s="2">
        <f t="shared" si="4"/>
        <v>8.77697287045895</v>
      </c>
      <c r="N29" s="2">
        <f t="shared" si="5"/>
        <v>15.929640265267317</v>
      </c>
      <c r="O29" s="2">
        <f>N29*B3</f>
        <v>15.929640265267317</v>
      </c>
      <c r="P29" s="18">
        <f t="shared" si="6"/>
        <v>0.14568965517241383</v>
      </c>
      <c r="Q29" s="2">
        <f>O29/B12</f>
        <v>219.46684469295226</v>
      </c>
    </row>
    <row r="30" spans="4:17" ht="12.75">
      <c r="D30" s="15">
        <v>20</v>
      </c>
      <c r="E30" s="1">
        <f>D30*B10</f>
        <v>0.5827586206896552</v>
      </c>
      <c r="F30">
        <f>B4</f>
        <v>1.185</v>
      </c>
      <c r="G30" s="1">
        <f>$B6-E30</f>
        <v>3.097241379310345</v>
      </c>
      <c r="H30" s="3">
        <f>$B5+E30</f>
        <v>0.9227586206896552</v>
      </c>
      <c r="I30" s="2">
        <f t="shared" si="0"/>
        <v>5.8599716857550845</v>
      </c>
      <c r="J30" s="2">
        <f t="shared" si="1"/>
        <v>1.1028757359967818</v>
      </c>
      <c r="K30" s="2">
        <f t="shared" si="2"/>
        <v>0.6687535551169091</v>
      </c>
      <c r="L30" s="2">
        <f t="shared" si="3"/>
        <v>0.43412218087987264</v>
      </c>
      <c r="M30" s="2">
        <f t="shared" si="4"/>
        <v>8.978691228789353</v>
      </c>
      <c r="N30" s="2">
        <f t="shared" si="5"/>
        <v>15.706907276304182</v>
      </c>
      <c r="O30" s="2">
        <f>N30*B3</f>
        <v>15.706907276304182</v>
      </c>
      <c r="P30" s="18">
        <f t="shared" si="6"/>
        <v>0.13112068965517243</v>
      </c>
      <c r="Q30" s="2">
        <f>O30/B12</f>
        <v>216.39819370757178</v>
      </c>
    </row>
    <row r="31" spans="4:17" ht="12.75">
      <c r="D31" s="15">
        <v>21</v>
      </c>
      <c r="E31" s="1">
        <f>D31*B10</f>
        <v>0.6118965517241379</v>
      </c>
      <c r="F31">
        <f>B4</f>
        <v>1.185</v>
      </c>
      <c r="G31" s="1">
        <f>$B6-E31</f>
        <v>3.0681034482758625</v>
      </c>
      <c r="H31" s="3">
        <f>$B5+E31</f>
        <v>0.951896551724138</v>
      </c>
      <c r="I31" s="2">
        <f t="shared" si="0"/>
        <v>5.523990118417817</v>
      </c>
      <c r="J31" s="2">
        <f t="shared" si="1"/>
        <v>1.1028757359967818</v>
      </c>
      <c r="K31" s="2">
        <f t="shared" si="2"/>
        <v>0.7116548091292414</v>
      </c>
      <c r="L31" s="2">
        <f t="shared" si="3"/>
        <v>0.3912209268675404</v>
      </c>
      <c r="M31" s="2">
        <f t="shared" si="4"/>
        <v>9.17507504325655</v>
      </c>
      <c r="N31" s="2">
        <f t="shared" si="5"/>
        <v>15.481507015409449</v>
      </c>
      <c r="O31" s="2">
        <f>N31*B3</f>
        <v>15.481507015409449</v>
      </c>
      <c r="P31" s="18">
        <f t="shared" si="6"/>
        <v>0.11655172413793102</v>
      </c>
      <c r="Q31" s="2">
        <f>O31/B12</f>
        <v>213.29279501508566</v>
      </c>
    </row>
    <row r="32" spans="4:17" ht="12.75">
      <c r="D32" s="15">
        <v>22</v>
      </c>
      <c r="E32" s="1">
        <f>D32*B10</f>
        <v>0.6410344827586207</v>
      </c>
      <c r="F32">
        <f>B4</f>
        <v>1.185</v>
      </c>
      <c r="G32" s="1">
        <f>$B6-E32</f>
        <v>3.0389655172413796</v>
      </c>
      <c r="H32" s="3">
        <f>$B5+E32</f>
        <v>0.9810344827586208</v>
      </c>
      <c r="I32" s="2">
        <f t="shared" si="0"/>
        <v>5.193343094943758</v>
      </c>
      <c r="J32" s="2">
        <f t="shared" si="1"/>
        <v>1.1028757359967818</v>
      </c>
      <c r="K32" s="2">
        <f t="shared" si="2"/>
        <v>0.7558896991073761</v>
      </c>
      <c r="L32" s="2">
        <f t="shared" si="3"/>
        <v>0.34698603688940566</v>
      </c>
      <c r="M32" s="2">
        <f t="shared" si="4"/>
        <v>9.366124313860535</v>
      </c>
      <c r="N32" s="2">
        <f t="shared" si="5"/>
        <v>15.253439482583104</v>
      </c>
      <c r="O32" s="2">
        <f>N32*B3</f>
        <v>15.253439482583104</v>
      </c>
      <c r="P32" s="18">
        <f t="shared" si="6"/>
        <v>0.10198275862068962</v>
      </c>
      <c r="Q32" s="2">
        <f>O32/B12</f>
        <v>210.15064861549374</v>
      </c>
    </row>
    <row r="33" spans="4:17" ht="12.75">
      <c r="D33" s="15">
        <v>23</v>
      </c>
      <c r="E33" s="1">
        <f>D33*B10</f>
        <v>0.6701724137931034</v>
      </c>
      <c r="F33">
        <f>B4</f>
        <v>1.185</v>
      </c>
      <c r="G33" s="1">
        <f>$B6-E33</f>
        <v>3.009827586206897</v>
      </c>
      <c r="H33" s="3">
        <f>$B5+E33</f>
        <v>1.0101724137931034</v>
      </c>
      <c r="I33" s="2">
        <f t="shared" si="0"/>
        <v>4.868030615332908</v>
      </c>
      <c r="J33" s="2">
        <f t="shared" si="1"/>
        <v>1.1028757359967818</v>
      </c>
      <c r="K33" s="2">
        <f t="shared" si="2"/>
        <v>0.8014582250513126</v>
      </c>
      <c r="L33" s="2">
        <f t="shared" si="3"/>
        <v>0.3014175109454692</v>
      </c>
      <c r="M33" s="2">
        <f t="shared" si="4"/>
        <v>9.551839040601308</v>
      </c>
      <c r="N33" s="2">
        <f t="shared" si="5"/>
        <v>15.022704677825155</v>
      </c>
      <c r="O33" s="2">
        <f>N33*B3</f>
        <v>15.022704677825155</v>
      </c>
      <c r="P33" s="18">
        <f t="shared" si="6"/>
        <v>0.08741379310344832</v>
      </c>
      <c r="Q33" s="2">
        <f>O33/B12</f>
        <v>206.97175450879612</v>
      </c>
    </row>
    <row r="34" spans="4:17" ht="12.75">
      <c r="D34" s="15">
        <v>24</v>
      </c>
      <c r="E34" s="1">
        <f>D34*B10</f>
        <v>0.6993103448275862</v>
      </c>
      <c r="F34">
        <f>B4</f>
        <v>1.185</v>
      </c>
      <c r="G34" s="1">
        <f>$B6-E34</f>
        <v>2.980689655172414</v>
      </c>
      <c r="H34" s="3">
        <f>$B5+E34</f>
        <v>1.0393103448275862</v>
      </c>
      <c r="I34" s="2">
        <f t="shared" si="0"/>
        <v>4.548052679585268</v>
      </c>
      <c r="J34" s="2">
        <f t="shared" si="1"/>
        <v>1.1028757359967818</v>
      </c>
      <c r="K34" s="2">
        <f t="shared" si="2"/>
        <v>0.8483603869610519</v>
      </c>
      <c r="L34" s="2">
        <f t="shared" si="3"/>
        <v>0.2545153490357299</v>
      </c>
      <c r="M34" s="2">
        <f t="shared" si="4"/>
        <v>9.732219223478875</v>
      </c>
      <c r="N34" s="2">
        <f t="shared" si="5"/>
        <v>14.789302601135603</v>
      </c>
      <c r="O34" s="2">
        <f>N34*B3</f>
        <v>14.789302601135603</v>
      </c>
      <c r="P34" s="18">
        <f t="shared" si="6"/>
        <v>0.07284482758620692</v>
      </c>
      <c r="Q34" s="2">
        <f>O34/B12</f>
        <v>203.7561126949928</v>
      </c>
    </row>
    <row r="35" spans="4:17" ht="12.75">
      <c r="D35" s="15">
        <v>25</v>
      </c>
      <c r="E35" s="1">
        <f>D35*B10</f>
        <v>0.728448275862069</v>
      </c>
      <c r="F35">
        <f>B4</f>
        <v>1.185</v>
      </c>
      <c r="G35" s="1">
        <f>$B6-E35</f>
        <v>2.951551724137931</v>
      </c>
      <c r="H35" s="3">
        <f>$B5+E35</f>
        <v>1.068448275862069</v>
      </c>
      <c r="I35" s="2">
        <f t="shared" si="0"/>
        <v>4.2334092877008365</v>
      </c>
      <c r="J35" s="2">
        <f t="shared" si="1"/>
        <v>1.1028757359967818</v>
      </c>
      <c r="K35" s="2">
        <f t="shared" si="2"/>
        <v>0.8965961848365934</v>
      </c>
      <c r="L35" s="2">
        <f t="shared" si="3"/>
        <v>0.20627955116018837</v>
      </c>
      <c r="M35" s="2">
        <f t="shared" si="4"/>
        <v>9.907264862493234</v>
      </c>
      <c r="N35" s="2">
        <f t="shared" si="5"/>
        <v>14.553233252514447</v>
      </c>
      <c r="O35" s="2">
        <f>N35*B3</f>
        <v>14.553233252514447</v>
      </c>
      <c r="P35" s="18">
        <f t="shared" si="6"/>
        <v>0.05827586206896551</v>
      </c>
      <c r="Q35" s="2">
        <f>O35/B12</f>
        <v>200.5037231740838</v>
      </c>
    </row>
    <row r="36" spans="4:17" ht="12.75">
      <c r="D36" s="15">
        <v>26</v>
      </c>
      <c r="E36" s="1">
        <f>D36*B10</f>
        <v>0.7575862068965518</v>
      </c>
      <c r="F36">
        <f>B4</f>
        <v>1.185</v>
      </c>
      <c r="G36" s="1">
        <f>$B6-E36</f>
        <v>2.9224137931034484</v>
      </c>
      <c r="H36" s="3">
        <f>$B5+E36</f>
        <v>1.0975862068965518</v>
      </c>
      <c r="I36" s="2">
        <f t="shared" si="0"/>
        <v>3.924100439679614</v>
      </c>
      <c r="J36" s="2">
        <f t="shared" si="1"/>
        <v>1.1028757359967818</v>
      </c>
      <c r="K36" s="2">
        <f t="shared" si="2"/>
        <v>0.9461656186779371</v>
      </c>
      <c r="L36" s="2">
        <f t="shared" si="3"/>
        <v>0.15671011731884466</v>
      </c>
      <c r="M36" s="2">
        <f t="shared" si="4"/>
        <v>10.076975957644382</v>
      </c>
      <c r="N36" s="2">
        <f t="shared" si="5"/>
        <v>14.314496631961685</v>
      </c>
      <c r="O36" s="2">
        <f>N36*B3</f>
        <v>14.314496631961685</v>
      </c>
      <c r="P36" s="18">
        <f t="shared" si="6"/>
        <v>0.043706896551724106</v>
      </c>
      <c r="Q36" s="2">
        <f>O36/B12</f>
        <v>197.21458594606906</v>
      </c>
    </row>
    <row r="37" spans="4:17" ht="12.75">
      <c r="D37" s="15">
        <v>27</v>
      </c>
      <c r="E37" s="1">
        <f>D37*B10</f>
        <v>0.7867241379310345</v>
      </c>
      <c r="F37">
        <f>B4</f>
        <v>1.185</v>
      </c>
      <c r="G37" s="1">
        <f>$B6-E37</f>
        <v>2.8932758620689656</v>
      </c>
      <c r="H37" s="3">
        <f>$B5+E37</f>
        <v>1.1267241379310344</v>
      </c>
      <c r="I37" s="2">
        <f t="shared" si="0"/>
        <v>3.620126135521601</v>
      </c>
      <c r="J37" s="2">
        <f t="shared" si="1"/>
        <v>1.1028757359967818</v>
      </c>
      <c r="K37" s="2">
        <f t="shared" si="2"/>
        <v>0.9970686884850828</v>
      </c>
      <c r="L37" s="2">
        <f t="shared" si="3"/>
        <v>0.105807047511699</v>
      </c>
      <c r="M37" s="2">
        <f t="shared" si="4"/>
        <v>10.24135250893232</v>
      </c>
      <c r="N37" s="2">
        <f t="shared" si="5"/>
        <v>14.073092739477318</v>
      </c>
      <c r="O37" s="2">
        <f>N37*B3</f>
        <v>14.073092739477318</v>
      </c>
      <c r="P37" s="18">
        <f t="shared" si="6"/>
        <v>0.02913793103448281</v>
      </c>
      <c r="Q37" s="2">
        <f>O37/B12</f>
        <v>193.8887010109486</v>
      </c>
    </row>
    <row r="38" spans="4:17" ht="12.75">
      <c r="D38" s="15">
        <v>28</v>
      </c>
      <c r="E38" s="1">
        <f>D38*$B$10</f>
        <v>0.8158620689655173</v>
      </c>
      <c r="F38">
        <f>$B$4</f>
        <v>1.185</v>
      </c>
      <c r="G38" s="1">
        <f>$B$6-E38</f>
        <v>2.8641379310344828</v>
      </c>
      <c r="H38" s="3">
        <f>$B$5+E38</f>
        <v>1.1558620689655172</v>
      </c>
      <c r="I38" s="2">
        <f t="shared" si="0"/>
        <v>3.321486375226797</v>
      </c>
      <c r="J38" s="2">
        <f t="shared" si="1"/>
        <v>1.1028757359967818</v>
      </c>
      <c r="K38" s="2">
        <f t="shared" si="2"/>
        <v>1.0493053942580313</v>
      </c>
      <c r="L38" s="2">
        <f t="shared" si="3"/>
        <v>0.053570341738750527</v>
      </c>
      <c r="M38" s="2">
        <f t="shared" si="4"/>
        <v>10.40039451635705</v>
      </c>
      <c r="N38" s="2">
        <f t="shared" si="5"/>
        <v>13.829021575061347</v>
      </c>
      <c r="O38" s="2">
        <f>N38*$B$3</f>
        <v>13.829021575061347</v>
      </c>
      <c r="P38" s="18">
        <f t="shared" si="6"/>
        <v>0.014568965517241406</v>
      </c>
      <c r="Q38" s="2">
        <f>O38/$B$12</f>
        <v>190.52606836872246</v>
      </c>
    </row>
    <row r="39" spans="1:17" ht="12.75">
      <c r="A39" t="s">
        <v>121</v>
      </c>
      <c r="D39" s="15">
        <v>29</v>
      </c>
      <c r="E39" s="1">
        <f>D39*$B$10</f>
        <v>0.845</v>
      </c>
      <c r="F39">
        <f>$B$4</f>
        <v>1.185</v>
      </c>
      <c r="G39" s="1">
        <f>$B$6-E39</f>
        <v>2.835</v>
      </c>
      <c r="H39" s="3">
        <f>$B$5+E39</f>
        <v>1.185</v>
      </c>
      <c r="I39" s="2">
        <f t="shared" si="0"/>
        <v>3.028181158795202</v>
      </c>
      <c r="J39" s="2">
        <f>((F39/2)^2)*PI()</f>
        <v>1.1028757359967818</v>
      </c>
      <c r="K39" s="2">
        <f>((H39/2)^2)*PI()</f>
        <v>1.1028757359967818</v>
      </c>
      <c r="L39" s="2">
        <f>J39-K39</f>
        <v>0</v>
      </c>
      <c r="M39" s="2">
        <f>(H39*PI())*G39</f>
        <v>10.55410197991857</v>
      </c>
      <c r="N39" s="2">
        <f t="shared" si="5"/>
        <v>13.582283138713773</v>
      </c>
      <c r="O39" s="2">
        <f>N39*$B$3</f>
        <v>13.582283138713773</v>
      </c>
      <c r="P39" s="18">
        <f t="shared" si="6"/>
        <v>0</v>
      </c>
      <c r="Q39" s="2">
        <f>O39/$B$12</f>
        <v>187.12668801939063</v>
      </c>
    </row>
    <row r="40" ht="12.75">
      <c r="A40" s="9" t="s">
        <v>73</v>
      </c>
    </row>
    <row r="41" ht="12.75">
      <c r="A41" s="9" t="s">
        <v>147</v>
      </c>
    </row>
    <row r="42" ht="12.75">
      <c r="A42" s="19">
        <v>39438</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B2">
      <selection activeCell="H57" sqref="H57"/>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80</v>
      </c>
    </row>
    <row r="11" spans="1:5" ht="12.75">
      <c r="A11" t="s">
        <v>65</v>
      </c>
      <c r="D11">
        <v>1.24</v>
      </c>
      <c r="E11" t="s">
        <v>43</v>
      </c>
    </row>
    <row r="12" ht="12.75">
      <c r="A12" t="s">
        <v>64</v>
      </c>
    </row>
    <row r="13" ht="12.75">
      <c r="A13" t="s">
        <v>67</v>
      </c>
    </row>
    <row r="17" ht="12.75">
      <c r="A17" t="s">
        <v>81</v>
      </c>
    </row>
    <row r="18" spans="1:5" ht="12.75">
      <c r="A18" t="s">
        <v>82</v>
      </c>
      <c r="B18" t="s">
        <v>83</v>
      </c>
      <c r="C18" t="s">
        <v>84</v>
      </c>
      <c r="D18" t="s">
        <v>85</v>
      </c>
      <c r="E18" t="s">
        <v>86</v>
      </c>
    </row>
    <row r="19" spans="1:5" ht="12.75">
      <c r="A19" t="s">
        <v>87</v>
      </c>
      <c r="B19">
        <v>5</v>
      </c>
      <c r="C19">
        <v>6.875</v>
      </c>
      <c r="D19">
        <v>8.75</v>
      </c>
      <c r="E19">
        <v>12.5</v>
      </c>
    </row>
    <row r="20" spans="1:5" ht="12.75">
      <c r="A20" t="s">
        <v>88</v>
      </c>
      <c r="B20">
        <f>B19-1.25</f>
        <v>3.75</v>
      </c>
      <c r="C20">
        <f>C19-1.25</f>
        <v>5.625</v>
      </c>
      <c r="D20">
        <f>D19-1.25</f>
        <v>7.5</v>
      </c>
      <c r="E20">
        <f>E19-1.25</f>
        <v>11.25</v>
      </c>
    </row>
    <row r="21" spans="1:5" ht="12.75">
      <c r="A21" t="s">
        <v>89</v>
      </c>
      <c r="B21">
        <f>B19-1.375</f>
        <v>3.625</v>
      </c>
      <c r="C21">
        <f>C19-1.375</f>
        <v>5.5</v>
      </c>
      <c r="D21">
        <f>D19-1.375</f>
        <v>7.375</v>
      </c>
      <c r="E21">
        <f>E19-1.375</f>
        <v>11.125</v>
      </c>
    </row>
    <row r="22" spans="1:10" ht="12.75">
      <c r="A22" t="s">
        <v>90</v>
      </c>
      <c r="B22">
        <f>B19+1.0625</f>
        <v>6.0625</v>
      </c>
      <c r="C22">
        <f>C19+1.0625</f>
        <v>7.9375</v>
      </c>
      <c r="D22">
        <f>D19+1.0625</f>
        <v>9.8125</v>
      </c>
      <c r="E22">
        <f>E19+1.0625</f>
        <v>13.5625</v>
      </c>
      <c r="J22" t="s">
        <v>63</v>
      </c>
    </row>
    <row r="23" spans="1:5" ht="12.75">
      <c r="A23" t="s">
        <v>91</v>
      </c>
      <c r="B23">
        <f>B19+0.6875</f>
        <v>5.6875</v>
      </c>
      <c r="C23">
        <f>C19+0.6875</f>
        <v>7.5625</v>
      </c>
      <c r="D23">
        <f>D19+0.6875</f>
        <v>9.4375</v>
      </c>
      <c r="E23">
        <f>E19+0.6875</f>
        <v>13.1875</v>
      </c>
    </row>
    <row r="28" ht="12.75">
      <c r="A28" t="s">
        <v>92</v>
      </c>
    </row>
    <row r="29" spans="1:2" ht="12.75">
      <c r="A29" t="s">
        <v>93</v>
      </c>
      <c r="B29" t="s">
        <v>94</v>
      </c>
    </row>
    <row r="30" spans="1:2" ht="12.75">
      <c r="A30" t="s">
        <v>95</v>
      </c>
      <c r="B30" t="s">
        <v>96</v>
      </c>
    </row>
    <row r="31" spans="1:2" ht="12.75">
      <c r="A31" t="s">
        <v>97</v>
      </c>
      <c r="B31" t="s">
        <v>98</v>
      </c>
    </row>
    <row r="32" spans="1:2" ht="12.75">
      <c r="A32" t="s">
        <v>99</v>
      </c>
      <c r="B32" t="s">
        <v>100</v>
      </c>
    </row>
    <row r="35" spans="1:3" ht="12.75">
      <c r="A35" t="s">
        <v>152</v>
      </c>
      <c r="B35">
        <f>0.178*3.1416</f>
        <v>0.5592048</v>
      </c>
      <c r="C35" t="s">
        <v>153</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2007-12-23T03:53:48Z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