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<sst xmlns="http://schemas.openxmlformats.org/spreadsheetml/2006/main" count="224" uniqueCount="173">
  <si>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</si>
  <si>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</si>
  <si>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</si>
  <si>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</si>
  <si>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</si>
  <si>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</si>
  <si>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</si>
  <si>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</si>
  <si>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</si>
  <si>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</si>
  <si>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</si>
  <si>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</si>
  <si>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</si>
  <si>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</si>
  <si>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</si>
  <si>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</si>
  <si>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</si>
  <si>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</si>
  <si>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</si>
  <si>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</si>
  <si>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</si>
  <si>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</si>
  <si>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</si>
  <si>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</si>
  <si>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</si>
  <si>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</si>
  <si>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</si>
  <si>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</si>
  <si>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</si>
  <si>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</si>
  <si>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</si>
  <si>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</si>
  <si>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</si>
  <si>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</si>
  <si>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</si>
  <si>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</si>
  <si>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</si>
  <si>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</si>
  <si>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</si>
  <si>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</si>
  <si>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</si>
  <si>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</si>
  <si>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</si>
  <si>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</si>
  <si>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</si>
  <si>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</si>
  <si>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</si>
  <si>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</si>
  <si>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</si>
  <si>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</si>
  <si>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</si>
  <si>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</si>
  <si>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</si>
  <si>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</si>
  <si>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</si>
  <si>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</si>
  <si>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</si>
  <si>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</si>
  <si>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</si>
  <si>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</si>
  <si>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</si>
  <si>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</si>
  <si>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</si>
  <si>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</si>
  <si>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</si>
  <si>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</si>
  <si>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</si>
  <si>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</si>
  <si>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</si>
  <si>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</si>
  <si>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</si>
  <si>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</si>
  <si>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</si>
  <si>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</si>
  <si>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</si>
  <si>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</si>
  <si>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</si>
  <si>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</si>
  <si>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</si>
  <si>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</si>
  <si>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</si>
  <si>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</si>
  <si>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</si>
  <si>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</si>
  <si>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</si>
  <si>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</si>
  <si>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</si>
  <si>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</si>
  <si>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</si>
  <si>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</si>
  <si>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</si>
  <si>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</si>
  <si>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</si>
  <si>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</si>
  <si>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</si>
  <si>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</si>
  <si>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</si>
  <si>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</si>
  <si>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</si>
  <si>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</si>
  <si>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</si>
  <si>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</si>
  <si>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</si>
  <si>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</si>
  <si>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</si>
  <si>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</si>
  <si>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</si>
  <si>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</si>
  <si>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</si>
  <si>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</si>
  <si>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</si>
  <si>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</si>
  <si>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</si>
  <si>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</si>
  <si>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</si>
  <si>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</si>
  <si>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</si>
  <si>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</si>
  <si>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</si>
  <si>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</si>
  <si>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</si>
  <si>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</si>
  <si>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</si>
  <si>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</si>
  <si>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</si>
  <si>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</si>
  <si>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</si>
  <si>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</si>
  <si>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</si>
  <si>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</si>
  <si>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</si>
  <si>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</si>
  <si>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</si>
  <si>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</si>
  <si>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</si>
  <si>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</si>
  <si>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</si>
  <si>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</si>
  <si>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</si>
  <si>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</si>
  <si>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</si>
  <si>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</si>
  <si>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</si>
  <si>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</si>
  <si>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</si>
  <si>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</si>
  <si>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</si>
  <si>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</si>
  <si>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</si>
  <si>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</si>
  <si>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</si>
  <si>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</si>
  <si>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Uninhibited Grain Kn Calculator</t>
  </si>
  <si>
    <t>This sample uses decimal inches, but millimeters works fine too.</t>
  </si>
  <si>
    <t>12/21/07A</t>
  </si>
  <si>
    <t>Model Rocket Motor with Packed propellant</t>
  </si>
  <si>
    <t>Rammed dry propellant in 1/2 inch ID posterboard tube, 2.75 inches long</t>
  </si>
  <si>
    <t>1/4 tsp Bentonite rammed first, followed by propellant, rammed in 1/2 tsp increments to within 1/16 inch of head end</t>
  </si>
  <si>
    <t>Head end sealed with epoxy</t>
  </si>
  <si>
    <t>Core is 1/4th inch dia x 2.25 inches long total, about 2 inches propellant</t>
  </si>
  <si>
    <t>En d</t>
  </si>
  <si>
    <t>12-21-07A</t>
  </si>
  <si>
    <t>Data from 44lbf load cell, Amp C, all gain switches ON</t>
  </si>
  <si>
    <t>Amp C, gain set at 32 ohms</t>
  </si>
  <si>
    <t>n/a</t>
  </si>
  <si>
    <t>Dry rammed KNO3/sucrose</t>
  </si>
  <si>
    <t>Single grain, core burning, case bonded</t>
  </si>
  <si>
    <t>&lt; total propellant wt 11.5g, see notes</t>
  </si>
  <si>
    <t>Tested on 44lbf test stand</t>
  </si>
  <si>
    <t>Delay Ends</t>
  </si>
  <si>
    <t>Delay time:</t>
  </si>
  <si>
    <t>&lt;average of K45-K47</t>
  </si>
  <si>
    <t>Fired with fuse paper igniter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</si>
</sst>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18mm Model Rocket Motor using Rammed Dry Propellant</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Data!$B$10:$B$307</c:f>
              <c:numCache>
                <c:ptCount val="298"/>
                <c:pt idx="0">
                  <c:v>-1.9915704999998174E-05</c:v>
                </c:pt>
                <c:pt idx="1">
                  <c:v>-0.061341414114639996</c:v>
                </c:pt>
                <c:pt idx="2">
                  <c:v>-0.0417186196904</c:v>
                </c:pt>
                <c:pt idx="3">
                  <c:v>-0.0343603376152</c:v>
                </c:pt>
                <c:pt idx="4">
                  <c:v>-0.002473182746999994</c:v>
                </c:pt>
                <c:pt idx="5">
                  <c:v>-0.0687</c:v>
                </c:pt>
                <c:pt idx="6">
                  <c:v>-0.0417186196904</c:v>
                </c:pt>
                <c:pt idx="7">
                  <c:v>-0.0368128451318</c:v>
                </c:pt>
                <c:pt idx="8">
                  <c:v>-0.004925690263599999</c:v>
                </c:pt>
                <c:pt idx="9">
                  <c:v>-0.0687</c:v>
                </c:pt>
                <c:pt idx="10">
                  <c:v>-0.0392653526484</c:v>
                </c:pt>
                <c:pt idx="11">
                  <c:v>-0.046624394249</c:v>
                </c:pt>
                <c:pt idx="12">
                  <c:v>-0.0319070705732</c:v>
                </c:pt>
                <c:pt idx="13">
                  <c:v>-0.0392653526484</c:v>
                </c:pt>
                <c:pt idx="14">
                  <c:v>-0.0098314648222</c:v>
                </c:pt>
                <c:pt idx="15">
                  <c:v>-0.0662471127207</c:v>
                </c:pt>
                <c:pt idx="16">
                  <c:v>-0.053982676324199994</c:v>
                </c:pt>
                <c:pt idx="17">
                  <c:v>-0.0417186196904</c:v>
                </c:pt>
                <c:pt idx="18">
                  <c:v>-0.012283972338799999</c:v>
                </c:pt>
                <c:pt idx="19">
                  <c:v>-0.0662471127207</c:v>
                </c:pt>
                <c:pt idx="20">
                  <c:v>-0.024548788497999997</c:v>
                </c:pt>
                <c:pt idx="21">
                  <c:v>-0.06379430139394</c:v>
                </c:pt>
                <c:pt idx="22">
                  <c:v>-0.0343603376152</c:v>
                </c:pt>
                <c:pt idx="23">
                  <c:v>-0.04907690176559999</c:v>
                </c:pt>
                <c:pt idx="24">
                  <c:v>-0.022095521456</c:v>
                </c:pt>
                <c:pt idx="25">
                  <c:v>-0.0515301688076</c:v>
                </c:pt>
                <c:pt idx="26">
                  <c:v>-0.024548788497999997</c:v>
                </c:pt>
                <c:pt idx="27">
                  <c:v>-0.061341414114639996</c:v>
                </c:pt>
                <c:pt idx="28">
                  <c:v>-0.0319070705732</c:v>
                </c:pt>
                <c:pt idx="29">
                  <c:v>-0.046624394249</c:v>
                </c:pt>
                <c:pt idx="30">
                  <c:v>-0.0171897468974</c:v>
                </c:pt>
                <c:pt idx="31">
                  <c:v>-0.0662471127207</c:v>
                </c:pt>
                <c:pt idx="32">
                  <c:v>-0.04417112720699999</c:v>
                </c:pt>
                <c:pt idx="33">
                  <c:v>-0.0319070705732</c:v>
                </c:pt>
                <c:pt idx="34">
                  <c:v>-0.004925690263599999</c:v>
                </c:pt>
                <c:pt idx="35">
                  <c:v>-0.046624394249</c:v>
                </c:pt>
                <c:pt idx="36">
                  <c:v>-0.061341414114639996</c:v>
                </c:pt>
                <c:pt idx="37">
                  <c:v>-0.014737239380800002</c:v>
                </c:pt>
                <c:pt idx="38">
                  <c:v>0.029415491172000013</c:v>
                </c:pt>
                <c:pt idx="39">
                  <c:v>-0.019643013939399996</c:v>
                </c:pt>
                <c:pt idx="40">
                  <c:v>-0.0392653526484</c:v>
                </c:pt>
                <c:pt idx="41">
                  <c:v>0.036775292298000015</c:v>
                </c:pt>
                <c:pt idx="42">
                  <c:v>0.07601996971600002</c:v>
                </c:pt>
                <c:pt idx="43">
                  <c:v>0.031868758213999995</c:v>
                </c:pt>
                <c:pt idx="44">
                  <c:v>0.009789354836000005</c:v>
                </c:pt>
                <c:pt idx="45">
                  <c:v>0.08337977084199998</c:v>
                </c:pt>
                <c:pt idx="46">
                  <c:v>0.11771791417599999</c:v>
                </c:pt>
                <c:pt idx="47">
                  <c:v>0.07847323675800001</c:v>
                </c:pt>
                <c:pt idx="48">
                  <c:v>0.06866016859</c:v>
                </c:pt>
                <c:pt idx="49">
                  <c:v>0.132437516428</c:v>
                </c:pt>
                <c:pt idx="50">
                  <c:v>0.17658872793000002</c:v>
                </c:pt>
                <c:pt idx="51">
                  <c:v>0.149602790468</c:v>
                </c:pt>
                <c:pt idx="52">
                  <c:v>0.12017118121800001</c:v>
                </c:pt>
                <c:pt idx="53">
                  <c:v>0.18884746788600004</c:v>
                </c:pt>
                <c:pt idx="54">
                  <c:v>0.23545194643000006</c:v>
                </c:pt>
                <c:pt idx="55">
                  <c:v>0.18884746788600004</c:v>
                </c:pt>
                <c:pt idx="56">
                  <c:v>0.16922892680400003</c:v>
                </c:pt>
                <c:pt idx="57">
                  <c:v>0.23299867938800006</c:v>
                </c:pt>
                <c:pt idx="58">
                  <c:v>0.27714989089000003</c:v>
                </c:pt>
                <c:pt idx="59">
                  <c:v>0.22809214530400002</c:v>
                </c:pt>
                <c:pt idx="60">
                  <c:v>0.20602033718</c:v>
                </c:pt>
                <c:pt idx="61">
                  <c:v>0.279603157932</c:v>
                </c:pt>
                <c:pt idx="62">
                  <c:v>0.311495629478</c:v>
                </c:pt>
                <c:pt idx="63">
                  <c:v>0.267344417976</c:v>
                </c:pt>
                <c:pt idx="64">
                  <c:v>0.267344417976</c:v>
                </c:pt>
                <c:pt idx="65">
                  <c:v>0.345833772812</c:v>
                </c:pt>
                <c:pt idx="66">
                  <c:v>0.392438251356</c:v>
                </c:pt>
                <c:pt idx="67">
                  <c:v>0.345833772812</c:v>
                </c:pt>
                <c:pt idx="68">
                  <c:v>0.340927238728</c:v>
                </c:pt>
                <c:pt idx="69">
                  <c:v>0.416963326522</c:v>
                </c:pt>
                <c:pt idx="70">
                  <c:v>0.483193941402</c:v>
                </c:pt>
                <c:pt idx="71">
                  <c:v>0.42677639469</c:v>
                </c:pt>
                <c:pt idx="72">
                  <c:v>0.43413619581600005</c:v>
                </c:pt>
                <c:pt idx="73">
                  <c:v>0.488100475486</c:v>
                </c:pt>
                <c:pt idx="74">
                  <c:v>0.532251686988</c:v>
                </c:pt>
                <c:pt idx="75">
                  <c:v>0.497913543654</c:v>
                </c:pt>
                <c:pt idx="76">
                  <c:v>0.488100475486</c:v>
                </c:pt>
                <c:pt idx="77">
                  <c:v>0.578856165532</c:v>
                </c:pt>
                <c:pt idx="78">
                  <c:v>0.632820445202</c:v>
                </c:pt>
                <c:pt idx="79">
                  <c:v>0.600927973656</c:v>
                </c:pt>
                <c:pt idx="80">
                  <c:v>0.581309432574</c:v>
                </c:pt>
                <c:pt idx="81">
                  <c:v>0.65979878741</c:v>
                </c:pt>
                <c:pt idx="82">
                  <c:v>0.73586525622</c:v>
                </c:pt>
                <c:pt idx="83">
                  <c:v>0.67206512262</c:v>
                </c:pt>
                <c:pt idx="84">
                  <c:v>0.6696118555780001</c:v>
                </c:pt>
                <c:pt idx="85">
                  <c:v>0.74809361516</c:v>
                </c:pt>
                <c:pt idx="86">
                  <c:v>0.78493059706</c:v>
                </c:pt>
                <c:pt idx="87">
                  <c:v>0.75789149282</c:v>
                </c:pt>
                <c:pt idx="88">
                  <c:v>0.75789149282</c:v>
                </c:pt>
                <c:pt idx="89">
                  <c:v>0.81432423004</c:v>
                </c:pt>
                <c:pt idx="90">
                  <c:v>0.86582005216</c:v>
                </c:pt>
                <c:pt idx="91">
                  <c:v>0.82169162642</c:v>
                </c:pt>
                <c:pt idx="92">
                  <c:v>0.81432423004</c:v>
                </c:pt>
                <c:pt idx="93">
                  <c:v>0.90265703406</c:v>
                </c:pt>
                <c:pt idx="94">
                  <c:v>0.92468327066</c:v>
                </c:pt>
                <c:pt idx="95">
                  <c:v>0.89528963768</c:v>
                </c:pt>
                <c:pt idx="96">
                  <c:v>0.91002443044</c:v>
                </c:pt>
                <c:pt idx="97">
                  <c:v>0.9541528561799999</c:v>
                </c:pt>
                <c:pt idx="98">
                  <c:v>1.00807915958</c:v>
                </c:pt>
                <c:pt idx="99">
                  <c:v>0.9565833374600001</c:v>
                </c:pt>
                <c:pt idx="100">
                  <c:v>0.9418485447</c:v>
                </c:pt>
                <c:pt idx="101">
                  <c:v>1.00807915958</c:v>
                </c:pt>
                <c:pt idx="102">
                  <c:v>1.05965093424</c:v>
                </c:pt>
                <c:pt idx="103">
                  <c:v>1.01795298978</c:v>
                </c:pt>
                <c:pt idx="104">
                  <c:v>1.0007117632</c:v>
                </c:pt>
                <c:pt idx="105">
                  <c:v>1.06208141552</c:v>
                </c:pt>
                <c:pt idx="106">
                  <c:v>1.10864032254</c:v>
                </c:pt>
                <c:pt idx="107">
                  <c:v>1.06694237808</c:v>
                </c:pt>
                <c:pt idx="108">
                  <c:v>1.07430977446</c:v>
                </c:pt>
                <c:pt idx="109">
                  <c:v>1.1552751821</c:v>
                </c:pt>
                <c:pt idx="110">
                  <c:v>1.1920362114599998</c:v>
                </c:pt>
                <c:pt idx="111">
                  <c:v>1.1479077857200002</c:v>
                </c:pt>
                <c:pt idx="112">
                  <c:v>1.1479077857200002</c:v>
                </c:pt>
                <c:pt idx="113">
                  <c:v>1.2141384006</c:v>
                </c:pt>
                <c:pt idx="114">
                  <c:v>1.28279949676</c:v>
                </c:pt>
                <c:pt idx="115">
                  <c:v>1.2043405229400002</c:v>
                </c:pt>
                <c:pt idx="116">
                  <c:v>1.22393627826</c:v>
                </c:pt>
                <c:pt idx="117">
                  <c:v>1.33437127142</c:v>
                </c:pt>
                <c:pt idx="118">
                  <c:v>1.3637649044</c:v>
                </c:pt>
                <c:pt idx="119">
                  <c:v>1.309838601</c:v>
                </c:pt>
                <c:pt idx="120">
                  <c:v>1.32943435632</c:v>
                </c:pt>
                <c:pt idx="121">
                  <c:v>1.4054628488599998</c:v>
                </c:pt>
                <c:pt idx="122">
                  <c:v>1.4495912746000001</c:v>
                </c:pt>
                <c:pt idx="123">
                  <c:v>1.42019764162</c:v>
                </c:pt>
                <c:pt idx="124">
                  <c:v>1.42999551928</c:v>
                </c:pt>
                <c:pt idx="125">
                  <c:v>1.48392182268</c:v>
                </c:pt>
                <c:pt idx="126">
                  <c:v>1.5354935973400001</c:v>
                </c:pt>
                <c:pt idx="127">
                  <c:v>1.5084544931</c:v>
                </c:pt>
                <c:pt idx="128">
                  <c:v>1.5305566822399999</c:v>
                </c:pt>
                <c:pt idx="129">
                  <c:v>1.57962202308</c:v>
                </c:pt>
                <c:pt idx="130">
                  <c:v>1.61395257116</c:v>
                </c:pt>
                <c:pt idx="131">
                  <c:v>1.56982414542</c:v>
                </c:pt>
                <c:pt idx="132">
                  <c:v>1.54772195628</c:v>
                </c:pt>
                <c:pt idx="133">
                  <c:v>1.58205250436</c:v>
                </c:pt>
                <c:pt idx="134">
                  <c:v>1.6507895530599999</c:v>
                </c:pt>
                <c:pt idx="135">
                  <c:v>1.60172421222</c:v>
                </c:pt>
                <c:pt idx="136">
                  <c:v>1.60658517478</c:v>
                </c:pt>
                <c:pt idx="137">
                  <c:v>1.6654483932800002</c:v>
                </c:pt>
                <c:pt idx="138">
                  <c:v>1.6899810637</c:v>
                </c:pt>
                <c:pt idx="139">
                  <c:v>1.64342215668</c:v>
                </c:pt>
                <c:pt idx="140">
                  <c:v>1.64091572286</c:v>
                </c:pt>
                <c:pt idx="141">
                  <c:v>1.68512010114</c:v>
                </c:pt>
                <c:pt idx="142">
                  <c:v>1.80284653814</c:v>
                </c:pt>
                <c:pt idx="143">
                  <c:v>1.7464138009199999</c:v>
                </c:pt>
                <c:pt idx="144">
                  <c:v>1.75864215986</c:v>
                </c:pt>
                <c:pt idx="145">
                  <c:v>1.8469749638800002</c:v>
                </c:pt>
                <c:pt idx="146">
                  <c:v>1.84940544516</c:v>
                </c:pt>
                <c:pt idx="147">
                  <c:v>1.84940544516</c:v>
                </c:pt>
                <c:pt idx="148">
                  <c:v>1.89110338962</c:v>
                </c:pt>
                <c:pt idx="149">
                  <c:v>1.9328013340799999</c:v>
                </c:pt>
                <c:pt idx="150">
                  <c:v>1.99660146768</c:v>
                </c:pt>
                <c:pt idx="151">
                  <c:v>1.9770057123599998</c:v>
                </c:pt>
                <c:pt idx="152">
                  <c:v>1.97943619364</c:v>
                </c:pt>
                <c:pt idx="153">
                  <c:v>2.0530342049</c:v>
                </c:pt>
                <c:pt idx="154">
                  <c:v>2.0530342049</c:v>
                </c:pt>
                <c:pt idx="155">
                  <c:v>2.01133626044</c:v>
                </c:pt>
                <c:pt idx="156">
                  <c:v>2.0187036568199996</c:v>
                </c:pt>
                <c:pt idx="157">
                  <c:v>2.0750604415</c:v>
                </c:pt>
                <c:pt idx="158">
                  <c:v>2.1069605083</c:v>
                </c:pt>
                <c:pt idx="159">
                  <c:v>2.0873647529799997</c:v>
                </c:pt>
                <c:pt idx="160">
                  <c:v>2.0775668753199996</c:v>
                </c:pt>
                <c:pt idx="161">
                  <c:v>2.175697557</c:v>
                </c:pt>
                <c:pt idx="162">
                  <c:v>2.16096276424</c:v>
                </c:pt>
                <c:pt idx="163">
                  <c:v>2.2222564640199995</c:v>
                </c:pt>
                <c:pt idx="164">
                  <c:v>2.18055851956</c:v>
                </c:pt>
                <c:pt idx="165">
                  <c:v>2.2467891344399997</c:v>
                </c:pt>
                <c:pt idx="166">
                  <c:v>2.2639544084799996</c:v>
                </c:pt>
                <c:pt idx="167">
                  <c:v>2.2369912567799997</c:v>
                </c:pt>
                <c:pt idx="168">
                  <c:v>2.2541565308199996</c:v>
                </c:pt>
                <c:pt idx="169">
                  <c:v>2.33018502336</c:v>
                </c:pt>
                <c:pt idx="170">
                  <c:v>2.34248933484</c:v>
                </c:pt>
                <c:pt idx="171">
                  <c:v>2.411150431</c:v>
                </c:pt>
                <c:pt idx="172">
                  <c:v>2.3351219384599995</c:v>
                </c:pt>
                <c:pt idx="173">
                  <c:v>2.39884611952</c:v>
                </c:pt>
                <c:pt idx="174">
                  <c:v>2.4675831682199996</c:v>
                </c:pt>
                <c:pt idx="175">
                  <c:v>2.36702200526</c:v>
                </c:pt>
                <c:pt idx="176">
                  <c:v>2.3816808454799996</c:v>
                </c:pt>
                <c:pt idx="177">
                  <c:v>2.53867474566</c:v>
                </c:pt>
                <c:pt idx="178">
                  <c:v>2.5264463867199995</c:v>
                </c:pt>
                <c:pt idx="179">
                  <c:v>2.47738104588</c:v>
                </c:pt>
                <c:pt idx="180">
                  <c:v>2.45770933802</c:v>
                </c:pt>
                <c:pt idx="181">
                  <c:v>2.60004439798</c:v>
                </c:pt>
                <c:pt idx="182">
                  <c:v>2.60733584182</c:v>
                </c:pt>
                <c:pt idx="183">
                  <c:v>2.5509790571399997</c:v>
                </c:pt>
                <c:pt idx="184">
                  <c:v>2.5534095384199995</c:v>
                </c:pt>
                <c:pt idx="185">
                  <c:v>2.6220706345799996</c:v>
                </c:pt>
                <c:pt idx="186">
                  <c:v>2.6687054941399997</c:v>
                </c:pt>
                <c:pt idx="187">
                  <c:v>2.6196401532999998</c:v>
                </c:pt>
                <c:pt idx="188">
                  <c:v>2.6539707013799996</c:v>
                </c:pt>
                <c:pt idx="189">
                  <c:v>2.75453186434</c:v>
                </c:pt>
                <c:pt idx="190">
                  <c:v>2.7324296752</c:v>
                </c:pt>
                <c:pt idx="191">
                  <c:v>2.7324296752</c:v>
                </c:pt>
                <c:pt idx="192">
                  <c:v>2.69323816456</c:v>
                </c:pt>
                <c:pt idx="193">
                  <c:v>2.72020131626</c:v>
                </c:pt>
                <c:pt idx="194">
                  <c:v>2.7913688462399997</c:v>
                </c:pt>
                <c:pt idx="195">
                  <c:v>2.7299991939199995</c:v>
                </c:pt>
                <c:pt idx="196">
                  <c:v>2.74716446796</c:v>
                </c:pt>
                <c:pt idx="197">
                  <c:v>2.8992214530399996</c:v>
                </c:pt>
                <c:pt idx="198">
                  <c:v>2.84772563092</c:v>
                </c:pt>
                <c:pt idx="199">
                  <c:v>2.79866029008</c:v>
                </c:pt>
                <c:pt idx="200">
                  <c:v>2.82569939432</c:v>
                </c:pt>
                <c:pt idx="201">
                  <c:v>2.8796256977199994</c:v>
                </c:pt>
                <c:pt idx="202">
                  <c:v>2.78400144986</c:v>
                </c:pt>
                <c:pt idx="203">
                  <c:v>2.74716446796</c:v>
                </c:pt>
                <c:pt idx="204">
                  <c:v>2.6589076164799996</c:v>
                </c:pt>
                <c:pt idx="205">
                  <c:v>2.77906453476</c:v>
                </c:pt>
                <c:pt idx="206">
                  <c:v>2.73979707158</c:v>
                </c:pt>
                <c:pt idx="207">
                  <c:v>2.6687054941399997</c:v>
                </c:pt>
                <c:pt idx="208">
                  <c:v>2.61227275692</c:v>
                </c:pt>
                <c:pt idx="209">
                  <c:v>2.62450111586</c:v>
                </c:pt>
                <c:pt idx="210">
                  <c:v>2.6368054273399997</c:v>
                </c:pt>
                <c:pt idx="211">
                  <c:v>2.5239399528999997</c:v>
                </c:pt>
                <c:pt idx="212">
                  <c:v>2.49454631992</c:v>
                </c:pt>
                <c:pt idx="213">
                  <c:v>2.5779422088399997</c:v>
                </c:pt>
                <c:pt idx="214">
                  <c:v>2.4185178273799997</c:v>
                </c:pt>
                <c:pt idx="215">
                  <c:v>2.3277545420799997</c:v>
                </c:pt>
                <c:pt idx="216">
                  <c:v>2.28362611634</c:v>
                </c:pt>
                <c:pt idx="217">
                  <c:v>2.3056523529399997</c:v>
                </c:pt>
                <c:pt idx="218">
                  <c:v>2.2762587199599995</c:v>
                </c:pt>
                <c:pt idx="219">
                  <c:v>2.13399961254</c:v>
                </c:pt>
                <c:pt idx="220">
                  <c:v>2.0775668753199996</c:v>
                </c:pt>
                <c:pt idx="221">
                  <c:v>2.0750604415</c:v>
                </c:pt>
                <c:pt idx="222">
                  <c:v>1.9916645525799999</c:v>
                </c:pt>
                <c:pt idx="223">
                  <c:v>1.9009772198200001</c:v>
                </c:pt>
                <c:pt idx="224">
                  <c:v>1.8175813309</c:v>
                </c:pt>
                <c:pt idx="225">
                  <c:v>1.8126444158000001</c:v>
                </c:pt>
                <c:pt idx="226">
                  <c:v>1.8175813309</c:v>
                </c:pt>
                <c:pt idx="227">
                  <c:v>1.67038530838</c:v>
                </c:pt>
                <c:pt idx="228">
                  <c:v>1.5624567490399999</c:v>
                </c:pt>
                <c:pt idx="229">
                  <c:v>1.5550893526599998</c:v>
                </c:pt>
                <c:pt idx="230">
                  <c:v>1.48885873778</c:v>
                </c:pt>
                <c:pt idx="231">
                  <c:v>1.37113230078</c:v>
                </c:pt>
                <c:pt idx="232">
                  <c:v>1.29753428952</c:v>
                </c:pt>
                <c:pt idx="233">
                  <c:v>1.28773641186</c:v>
                </c:pt>
                <c:pt idx="234">
                  <c:v>1.2509753825</c:v>
                </c:pt>
                <c:pt idx="235">
                  <c:v>1.1552751821</c:v>
                </c:pt>
                <c:pt idx="236">
                  <c:v>1.07681620828</c:v>
                </c:pt>
                <c:pt idx="237">
                  <c:v>1.07187929318</c:v>
                </c:pt>
                <c:pt idx="238">
                  <c:v>1.0105855934</c:v>
                </c:pt>
                <c:pt idx="239">
                  <c:v>0.8510852593999999</c:v>
                </c:pt>
                <c:pt idx="240">
                  <c:v>0.72849785984</c:v>
                </c:pt>
                <c:pt idx="241">
                  <c:v>0.679424923746</c:v>
                </c:pt>
                <c:pt idx="242">
                  <c:v>0.591122500742</c:v>
                </c:pt>
                <c:pt idx="243">
                  <c:v>0.448855798068</c:v>
                </c:pt>
                <c:pt idx="244">
                  <c:v>0.380171916146</c:v>
                </c:pt>
                <c:pt idx="245">
                  <c:v>0.40470458656600006</c:v>
                </c:pt>
                <c:pt idx="246">
                  <c:v>0.37771864910400005</c:v>
                </c:pt>
                <c:pt idx="247">
                  <c:v>0.279603157932</c:v>
                </c:pt>
                <c:pt idx="248">
                  <c:v>0.22809214530400002</c:v>
                </c:pt>
                <c:pt idx="249">
                  <c:v>0.24771828164000004</c:v>
                </c:pt>
                <c:pt idx="250">
                  <c:v>0.237905213472</c:v>
                </c:pt>
                <c:pt idx="251">
                  <c:v>0.159415858636</c:v>
                </c:pt>
                <c:pt idx="252">
                  <c:v>0.12507771530200001</c:v>
                </c:pt>
                <c:pt idx="253">
                  <c:v>0.159415858636</c:v>
                </c:pt>
                <c:pt idx="254">
                  <c:v>0.161869125678</c:v>
                </c:pt>
                <c:pt idx="255">
                  <c:v>0.09073957196799999</c:v>
                </c:pt>
                <c:pt idx="256">
                  <c:v>0.05884710042200002</c:v>
                </c:pt>
                <c:pt idx="257">
                  <c:v>0.10299831192400001</c:v>
                </c:pt>
                <c:pt idx="258">
                  <c:v>0.105451578966</c:v>
                </c:pt>
                <c:pt idx="259">
                  <c:v>0.031868758213999995</c:v>
                </c:pt>
                <c:pt idx="260">
                  <c:v>0.009789354836000005</c:v>
                </c:pt>
                <c:pt idx="261">
                  <c:v>0.046580765212</c:v>
                </c:pt>
                <c:pt idx="262">
                  <c:v>0.046580765212</c:v>
                </c:pt>
                <c:pt idx="263">
                  <c:v>-0.014737239380800002</c:v>
                </c:pt>
                <c:pt idx="264">
                  <c:v>-0.0343603376152</c:v>
                </c:pt>
                <c:pt idx="265">
                  <c:v>0.014695888919999997</c:v>
                </c:pt>
                <c:pt idx="266">
                  <c:v>0.019602423004000002</c:v>
                </c:pt>
                <c:pt idx="267">
                  <c:v>-0.0417186196904</c:v>
                </c:pt>
                <c:pt idx="268">
                  <c:v>-0.056435943366199996</c:v>
                </c:pt>
                <c:pt idx="269">
                  <c:v>-0.0098314648222</c:v>
                </c:pt>
                <c:pt idx="270">
                  <c:v>-0.004925690263599999</c:v>
                </c:pt>
                <c:pt idx="271">
                  <c:v>-0.056435943366199996</c:v>
                </c:pt>
                <c:pt idx="272">
                  <c:v>-0.061341414114639996</c:v>
                </c:pt>
                <c:pt idx="273">
                  <c:v>-0.027001296014600003</c:v>
                </c:pt>
                <c:pt idx="274">
                  <c:v>-0.022095521456</c:v>
                </c:pt>
                <c:pt idx="275">
                  <c:v>-0.058888450882799995</c:v>
                </c:pt>
                <c:pt idx="276">
                  <c:v>-0.046624394249</c:v>
                </c:pt>
                <c:pt idx="277">
                  <c:v>-0.0392653526484</c:v>
                </c:pt>
                <c:pt idx="278">
                  <c:v>-0.0319070705732</c:v>
                </c:pt>
                <c:pt idx="279">
                  <c:v>-0.046624394249</c:v>
                </c:pt>
                <c:pt idx="280">
                  <c:v>-0.0319070705732</c:v>
                </c:pt>
                <c:pt idx="281">
                  <c:v>-0.0515301688076</c:v>
                </c:pt>
                <c:pt idx="282">
                  <c:v>-0.0392653526484</c:v>
                </c:pt>
                <c:pt idx="283">
                  <c:v>-0.0417186196904</c:v>
                </c:pt>
                <c:pt idx="284">
                  <c:v>-0.022095521456</c:v>
                </c:pt>
                <c:pt idx="285">
                  <c:v>-0.0515301688076</c:v>
                </c:pt>
                <c:pt idx="286">
                  <c:v>-0.04417112720699999</c:v>
                </c:pt>
                <c:pt idx="287">
                  <c:v>-0.0343603376152</c:v>
                </c:pt>
                <c:pt idx="288">
                  <c:v>-0.024548788497999997</c:v>
                </c:pt>
                <c:pt idx="289">
                  <c:v>-0.058888450882799995</c:v>
                </c:pt>
                <c:pt idx="290">
                  <c:v>-0.04907690176559999</c:v>
                </c:pt>
                <c:pt idx="291">
                  <c:v>-0.0343603376152</c:v>
                </c:pt>
                <c:pt idx="292">
                  <c:v>-0.022095521456</c:v>
                </c:pt>
                <c:pt idx="293">
                  <c:v>-0.06379430139394</c:v>
                </c:pt>
                <c:pt idx="294">
                  <c:v>-0.053982676324199994</c:v>
                </c:pt>
                <c:pt idx="295">
                  <c:v>-0.027001296014600003</c:v>
                </c:pt>
                <c:pt idx="296">
                  <c:v>-0.0171897468974</c:v>
                </c:pt>
                <c:pt idx="297">
                  <c:v>-0.0687</c:v>
                </c:pt>
              </c:numCache>
            </c:numRef>
          </c:val>
          <c:smooth val="0"/>
        </c:ser>
        <c:axId val="38160868"/>
        <c:axId val="7903493"/>
      </c:lineChart>
      <c:catAx>
        <c:axId val="38160868"/>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7903493"/>
        <c:crosses val="autoZero"/>
        <c:auto val="1"/>
        <c:lblOffset val="100"/>
        <c:noMultiLvlLbl val="0"/>
      </c:catAx>
      <c:valAx>
        <c:axId val="7903493"/>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8160868"/>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ptCount val="5"/>
                <c:pt idx="0">
                  <c:v>0</c:v>
                </c:pt>
                <c:pt idx="1">
                  <c:v>0</c:v>
                </c:pt>
                <c:pt idx="2">
                  <c:v>0</c:v>
                </c:pt>
                <c:pt idx="3">
                  <c:v>0</c:v>
                </c:pt>
                <c:pt idx="4">
                  <c:v>0</c:v>
                </c:pt>
              </c:numCache>
            </c:numRef>
          </c:val>
          <c:smooth val="0"/>
        </c:ser>
        <c:axId val="4022574"/>
        <c:axId val="36203167"/>
      </c:lineChart>
      <c:catAx>
        <c:axId val="4022574"/>
        <c:scaling>
          <c:orientation val="minMax"/>
        </c:scaling>
        <c:axPos val="b"/>
        <c:delete val="0"/>
        <c:numFmt formatCode="General" sourceLinked="1"/>
        <c:majorTickMark val="out"/>
        <c:minorTickMark val="none"/>
        <c:tickLblPos val="nextTo"/>
        <c:crossAx val="36203167"/>
        <c:crosses val="autoZero"/>
        <c:auto val="1"/>
        <c:lblOffset val="100"/>
        <c:noMultiLvlLbl val="0"/>
      </c:catAx>
      <c:valAx>
        <c:axId val="36203167"/>
        <c:scaling>
          <c:orientation val="minMax"/>
          <c:max val="150"/>
          <c:min val="0"/>
        </c:scaling>
        <c:axPos val="l"/>
        <c:majorGridlines/>
        <c:delete val="0"/>
        <c:numFmt formatCode="0.00" sourceLinked="0"/>
        <c:majorTickMark val="out"/>
        <c:minorTickMark val="none"/>
        <c:tickLblPos val="nextTo"/>
        <c:crossAx val="4022574"/>
        <c:crossesAt val="1"/>
        <c:crossBetween val="between"/>
        <c:dispUnits/>
        <c:majorUnit val="25"/>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Data!$B$10:$B$307</c:f>
              <c:numCache>
                <c:ptCount val="2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numCache>
            </c:numRef>
          </c:val>
          <c:smooth val="0"/>
        </c:ser>
        <c:marker val="1"/>
        <c:axId val="57393048"/>
        <c:axId val="46775385"/>
      </c:lineChart>
      <c:catAx>
        <c:axId val="57393048"/>
        <c:scaling>
          <c:orientation val="minMax"/>
        </c:scaling>
        <c:axPos val="b"/>
        <c:delete val="0"/>
        <c:numFmt formatCode="General" sourceLinked="1"/>
        <c:majorTickMark val="out"/>
        <c:minorTickMark val="none"/>
        <c:tickLblPos val="nextTo"/>
        <c:crossAx val="46775385"/>
        <c:crosses val="autoZero"/>
        <c:auto val="1"/>
        <c:lblOffset val="100"/>
        <c:noMultiLvlLbl val="0"/>
      </c:catAx>
      <c:valAx>
        <c:axId val="46775385"/>
        <c:scaling>
          <c:orientation val="minMax"/>
        </c:scaling>
        <c:axPos val="l"/>
        <c:majorGridlines/>
        <c:delete val="0"/>
        <c:numFmt formatCode="General" sourceLinked="1"/>
        <c:majorTickMark val="out"/>
        <c:minorTickMark val="none"/>
        <c:tickLblPos val="nextTo"/>
        <c:crossAx val="57393048"/>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ser>
        <c:axId val="18325282"/>
        <c:axId val="30709811"/>
      </c:lineChart>
      <c:catAx>
        <c:axId val="18325282"/>
        <c:scaling>
          <c:orientation val="minMax"/>
        </c:scaling>
        <c:axPos val="b"/>
        <c:delete val="0"/>
        <c:numFmt formatCode="General" sourceLinked="1"/>
        <c:majorTickMark val="out"/>
        <c:minorTickMark val="none"/>
        <c:tickLblPos val="nextTo"/>
        <c:crossAx val="30709811"/>
        <c:crosses val="autoZero"/>
        <c:auto val="1"/>
        <c:lblOffset val="100"/>
        <c:noMultiLvlLbl val="0"/>
      </c:catAx>
      <c:valAx>
        <c:axId val="30709811"/>
        <c:scaling>
          <c:orientation val="minMax"/>
          <c:max val="350"/>
          <c:min val="0"/>
        </c:scaling>
        <c:axPos val="l"/>
        <c:majorGridlines/>
        <c:delete val="0"/>
        <c:numFmt formatCode="0" sourceLinked="0"/>
        <c:majorTickMark val="out"/>
        <c:minorTickMark val="none"/>
        <c:tickLblPos val="nextTo"/>
        <c:crossAx val="18325282"/>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7952844"/>
        <c:axId val="4466733"/>
      </c:lineChart>
      <c:catAx>
        <c:axId val="7952844"/>
        <c:scaling>
          <c:orientation val="minMax"/>
        </c:scaling>
        <c:axPos val="b"/>
        <c:delete val="0"/>
        <c:numFmt formatCode="General" sourceLinked="1"/>
        <c:majorTickMark val="out"/>
        <c:minorTickMark val="none"/>
        <c:tickLblPos val="nextTo"/>
        <c:crossAx val="4466733"/>
        <c:crosses val="autoZero"/>
        <c:auto val="1"/>
        <c:lblOffset val="100"/>
        <c:noMultiLvlLbl val="0"/>
      </c:catAx>
      <c:valAx>
        <c:axId val="4466733"/>
        <c:scaling>
          <c:orientation val="minMax"/>
          <c:max val="350"/>
          <c:min val="0"/>
        </c:scaling>
        <c:axPos val="l"/>
        <c:majorGridlines/>
        <c:delete val="0"/>
        <c:numFmt formatCode="0" sourceLinked="0"/>
        <c:majorTickMark val="out"/>
        <c:minorTickMark val="none"/>
        <c:tickLblPos val="nextTo"/>
        <c:crossAx val="7952844"/>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0.1345</cdr:x>
      <cdr:y>0.05075</cdr:y>
    </cdr:from>
    <cdr:to>
      <cdr:x>0.61275</cdr:x>
      <cdr:y>0.14325</cdr:y>
    </cdr:to>
    <cdr:sp>
      <cdr:nvSpPr>
        <cdr:cNvPr id="1" name="TextBox 1"/>
        <cdr:cNvSpPr txBox="1">
          <a:spLocks noChangeArrowheads="1"/>
        </cdr:cNvSpPr>
      </cdr:nvSpPr>
      <cdr:spPr>
        <a:xfrm>
          <a:off x="2857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63627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Static test of model-rocket sized motor using packed dry KNO3/sucrose propellant
Posterboard tube 2-3/4ths inches long, 18mm OD and 1/2 inch ID used.  
1/4 tsp Bentonite rammed in first, followed by dry propellant, rammed in 1/2 teaspoon increments.  A teaspoon is about 2 grams.
Ignited with fuse paper igniter, about 1.5 square inches rich Bounty fuse paper.
Total propellant mass is 11.5 g, but much of this is in the head end where it serves as a smoke/delay grain.  Estimates using KnCalc suggests that propellant burned during thrust phase would have been about 8.9g, assuming propellant density is same as for recrystallized propellant (not a safe assumption)
Thrust levels are at low end of this load cell's accuracy range, thus suspect.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154</v>
      </c>
      <c r="B1" t="s">
        <v>155</v>
      </c>
    </row>
    <row r="2" ht="12.75">
      <c r="B2" t="s">
        <v>156</v>
      </c>
    </row>
    <row r="3" ht="12.75">
      <c r="B3" t="s">
        <v>157</v>
      </c>
    </row>
    <row r="4" ht="12.75">
      <c r="B4" t="s">
        <v>158</v>
      </c>
    </row>
    <row r="5" ht="12.75">
      <c r="B5" t="s">
        <v>159</v>
      </c>
    </row>
    <row r="6" ht="12.75">
      <c r="B6" t="s">
        <v>172</v>
      </c>
    </row>
    <row r="8" spans="3:7" ht="12.75">
      <c r="C8" t="s">
        <v>6</v>
      </c>
      <c r="F8" t="s">
        <v>6</v>
      </c>
      <c r="G8" t="s">
        <v>6</v>
      </c>
    </row>
    <row r="9" spans="9:13" ht="12.75">
      <c r="I9" t="s">
        <v>47</v>
      </c>
      <c r="J9">
        <v>1</v>
      </c>
      <c r="K9">
        <v>2</v>
      </c>
      <c r="L9">
        <v>3</v>
      </c>
      <c r="M9">
        <v>4</v>
      </c>
    </row>
    <row r="10" spans="9:10" ht="12.75">
      <c r="I10" t="s">
        <v>13</v>
      </c>
      <c r="J10" s="5" t="s">
        <v>166</v>
      </c>
    </row>
    <row r="11" spans="9:10" ht="12.75">
      <c r="I11" t="s">
        <v>14</v>
      </c>
      <c r="J11" t="s">
        <v>165</v>
      </c>
    </row>
    <row r="12" spans="9:10" ht="12.75">
      <c r="I12" t="s">
        <v>15</v>
      </c>
      <c r="J12" t="s">
        <v>164</v>
      </c>
    </row>
    <row r="13" spans="11:19" ht="12.75">
      <c r="K13" t="s">
        <v>6</v>
      </c>
      <c r="N13" t="s">
        <v>42</v>
      </c>
      <c r="P13" t="s">
        <v>56</v>
      </c>
      <c r="R13">
        <v>0.56</v>
      </c>
      <c r="S13" t="s">
        <v>43</v>
      </c>
    </row>
    <row r="14" spans="9:16" ht="12.75">
      <c r="I14" t="s">
        <v>18</v>
      </c>
      <c r="J14">
        <v>2</v>
      </c>
      <c r="N14" s="1">
        <f>SUM(J14:M14)</f>
        <v>2</v>
      </c>
      <c r="O14" t="s">
        <v>11</v>
      </c>
      <c r="P14" t="s">
        <v>6</v>
      </c>
    </row>
    <row r="15" spans="9:16" ht="12.75">
      <c r="I15" t="s">
        <v>16</v>
      </c>
      <c r="J15">
        <v>0.5</v>
      </c>
      <c r="N15" s="1">
        <f>AVERAGE(J15:M15)</f>
        <v>0.5</v>
      </c>
      <c r="O15" t="s">
        <v>11</v>
      </c>
      <c r="P15" t="s">
        <v>6</v>
      </c>
    </row>
    <row r="16" spans="9:15" ht="12.75">
      <c r="I16" t="s">
        <v>17</v>
      </c>
      <c r="J16">
        <v>0.25</v>
      </c>
      <c r="N16" s="1">
        <f>AVERAGE(J16:M16)</f>
        <v>0.25</v>
      </c>
      <c r="O16" t="s">
        <v>51</v>
      </c>
    </row>
    <row r="17" spans="9:16" ht="12.75">
      <c r="I17" t="s">
        <v>50</v>
      </c>
      <c r="J17">
        <v>8.9</v>
      </c>
      <c r="K17" t="s">
        <v>167</v>
      </c>
      <c r="N17" s="1">
        <f>SUM(J17:M17)</f>
        <v>8.9</v>
      </c>
      <c r="O17" t="s">
        <v>23</v>
      </c>
      <c r="P17" t="s">
        <v>6</v>
      </c>
    </row>
    <row r="18" spans="9:15" ht="12.75">
      <c r="I18" t="s">
        <v>37</v>
      </c>
      <c r="J18">
        <f>(J15-J16)/2</f>
        <v>0.125</v>
      </c>
      <c r="M18">
        <f>(M15-M16)/2</f>
        <v>0</v>
      </c>
      <c r="N18" s="1">
        <f>AVERAGE(J18:J18)</f>
        <v>0.125</v>
      </c>
      <c r="O18" t="s">
        <v>11</v>
      </c>
    </row>
    <row r="19" spans="9:15" ht="12.75">
      <c r="I19" t="s">
        <v>41</v>
      </c>
      <c r="J19">
        <v>8.9</v>
      </c>
      <c r="M19">
        <f>M17-(R13*M14)</f>
        <v>0</v>
      </c>
      <c r="N19" s="1">
        <f>SUM(J19:M19)</f>
        <v>8.9</v>
      </c>
      <c r="O19" t="s">
        <v>23</v>
      </c>
    </row>
    <row r="21" ht="12.75">
      <c r="I21" t="s">
        <v>9</v>
      </c>
    </row>
    <row r="22" spans="9:11" ht="12.75">
      <c r="I22" t="s">
        <v>19</v>
      </c>
      <c r="J22" s="1">
        <v>0.25</v>
      </c>
      <c r="K22" t="s">
        <v>11</v>
      </c>
    </row>
    <row r="23" spans="9:11" ht="12.75">
      <c r="I23" t="s">
        <v>20</v>
      </c>
      <c r="J23">
        <v>0.25</v>
      </c>
      <c r="K23" t="s">
        <v>11</v>
      </c>
    </row>
    <row r="24" spans="9:13" ht="12.75">
      <c r="I24" t="s">
        <v>39</v>
      </c>
      <c r="J24" s="1">
        <f>J23-J22</f>
        <v>0</v>
      </c>
      <c r="K24" t="s">
        <v>11</v>
      </c>
      <c r="L24">
        <f>(J24/J22)*100</f>
        <v>0</v>
      </c>
      <c r="M24" t="s">
        <v>77</v>
      </c>
    </row>
    <row r="26" spans="10:11" ht="12.75">
      <c r="J26" t="s">
        <v>21</v>
      </c>
      <c r="K26" t="s">
        <v>6</v>
      </c>
    </row>
    <row r="27" spans="9:14" ht="12.75">
      <c r="I27" t="s">
        <v>8</v>
      </c>
      <c r="J27">
        <v>38</v>
      </c>
      <c r="K27" t="s">
        <v>6</v>
      </c>
      <c r="M27" t="s">
        <v>6</v>
      </c>
      <c r="N27" t="s">
        <v>44</v>
      </c>
    </row>
    <row r="28" spans="9:15" ht="12.75">
      <c r="I28" t="s">
        <v>22</v>
      </c>
      <c r="J28">
        <v>55</v>
      </c>
      <c r="K28" t="s">
        <v>6</v>
      </c>
      <c r="M28" t="s">
        <v>6</v>
      </c>
      <c r="N28" t="s">
        <v>33</v>
      </c>
      <c r="O28">
        <f>((J22/2)^2)*PI()</f>
        <v>0.04908738521234052</v>
      </c>
    </row>
    <row r="29" spans="9:15" ht="12.75">
      <c r="I29" t="s">
        <v>10</v>
      </c>
      <c r="J29">
        <v>55</v>
      </c>
      <c r="K29" t="s">
        <v>6</v>
      </c>
      <c r="M29" t="s">
        <v>6</v>
      </c>
      <c r="N29" t="s">
        <v>35</v>
      </c>
      <c r="O29">
        <f>B32/O28</f>
        <v>59.062454447281056</v>
      </c>
    </row>
    <row r="30" spans="9:14" ht="12.75">
      <c r="I30" t="s">
        <v>36</v>
      </c>
      <c r="J30">
        <f>(N18/B34)/2</f>
        <v>0.07731958762886598</v>
      </c>
      <c r="K30" t="s">
        <v>38</v>
      </c>
      <c r="N30" t="s">
        <v>45</v>
      </c>
    </row>
    <row r="31" ht="12.75">
      <c r="L31" t="s">
        <v>75</v>
      </c>
    </row>
    <row r="32" spans="1:3" ht="12.75">
      <c r="A32" t="s">
        <v>12</v>
      </c>
      <c r="B32" s="1">
        <f>MAX(Data!B10:B500)</f>
        <v>2.8992214530399996</v>
      </c>
      <c r="C32" t="s">
        <v>30</v>
      </c>
    </row>
    <row r="33" spans="1:7" ht="12.75">
      <c r="A33" t="s">
        <v>2</v>
      </c>
      <c r="B33" s="1">
        <f>AVERAGE(Data!B67:B261)</f>
        <v>1.5580225229047384</v>
      </c>
      <c r="C33" t="s">
        <v>27</v>
      </c>
      <c r="G33" t="s">
        <v>6</v>
      </c>
    </row>
    <row r="34" spans="1:3" ht="12.75">
      <c r="A34" t="s">
        <v>0</v>
      </c>
      <c r="B34" s="2">
        <f>(261-67)/240</f>
        <v>0.8083333333333333</v>
      </c>
      <c r="C34" t="s">
        <v>31</v>
      </c>
    </row>
    <row r="35" spans="1:6" ht="12.75">
      <c r="A35" t="s">
        <v>3</v>
      </c>
      <c r="B35" s="2">
        <f>((SUM(Data!B67:B261))/240)</f>
        <v>1.2658932998601</v>
      </c>
      <c r="C35" t="s">
        <v>4</v>
      </c>
      <c r="F35" t="s">
        <v>6</v>
      </c>
    </row>
    <row r="36" spans="1:9" ht="12.75">
      <c r="A36" t="s">
        <v>3</v>
      </c>
      <c r="B36" s="2">
        <f>B35*4.448</f>
        <v>5.630693397777725</v>
      </c>
      <c r="C36" t="s">
        <v>5</v>
      </c>
      <c r="I36" s="3"/>
    </row>
    <row r="37" spans="1:8" ht="12.75">
      <c r="A37" t="s">
        <v>68</v>
      </c>
      <c r="B37" s="1">
        <f>(N19)/1000</f>
        <v>0.0089</v>
      </c>
      <c r="C37" t="s">
        <v>49</v>
      </c>
      <c r="H37" t="s">
        <v>168</v>
      </c>
    </row>
    <row r="38" spans="1:8" ht="12.75">
      <c r="A38" t="s">
        <v>68</v>
      </c>
      <c r="B38" s="3">
        <f>B37/453.54*1000</f>
        <v>0.019623406976231425</v>
      </c>
      <c r="C38" t="s">
        <v>7</v>
      </c>
      <c r="H38" t="s">
        <v>163</v>
      </c>
    </row>
    <row r="39" spans="1:3" ht="12.75">
      <c r="A39" t="s">
        <v>100</v>
      </c>
      <c r="B39" s="2">
        <f>(B36/B37)/9.8</f>
        <v>64.55736525771297</v>
      </c>
      <c r="C39" t="s">
        <v>1</v>
      </c>
    </row>
    <row r="40" spans="8:11" ht="12.75">
      <c r="H40" t="s">
        <v>46</v>
      </c>
      <c r="I40" t="s">
        <v>24</v>
      </c>
      <c r="J40" t="s">
        <v>25</v>
      </c>
      <c r="K40" t="s">
        <v>26</v>
      </c>
    </row>
    <row r="41" spans="1:9" ht="12.75">
      <c r="A41" s="4"/>
      <c r="I41" s="3"/>
    </row>
    <row r="42" spans="8:11" ht="12.75">
      <c r="H42">
        <v>0</v>
      </c>
      <c r="I42" s="20">
        <v>0.00087</v>
      </c>
      <c r="J42">
        <v>0</v>
      </c>
      <c r="K42">
        <v>0</v>
      </c>
    </row>
    <row r="43" spans="8:11" ht="12.75">
      <c r="H43">
        <v>0.125</v>
      </c>
      <c r="I43" s="20">
        <v>0.00087</v>
      </c>
      <c r="J43">
        <f>(I43)/H43</f>
        <v>0.00696</v>
      </c>
      <c r="K43">
        <f>1/J43</f>
        <v>143.67816091954023</v>
      </c>
    </row>
    <row r="44" spans="1:11" ht="12.75">
      <c r="A44" t="s">
        <v>29</v>
      </c>
      <c r="H44">
        <v>0.25</v>
      </c>
      <c r="I44" s="20">
        <v>0.00275</v>
      </c>
      <c r="J44">
        <f>(I44)/H44</f>
        <v>0.011</v>
      </c>
      <c r="K44">
        <f>1/J44</f>
        <v>90.90909090909092</v>
      </c>
    </row>
    <row r="45" spans="1:11" ht="12.75">
      <c r="A45" t="s">
        <v>32</v>
      </c>
      <c r="H45">
        <v>0.5</v>
      </c>
      <c r="I45" s="20">
        <v>0.00617</v>
      </c>
      <c r="J45">
        <f>(I45)/H45</f>
        <v>0.01234</v>
      </c>
      <c r="K45">
        <f>1/J45</f>
        <v>81.03727714748784</v>
      </c>
    </row>
    <row r="46" spans="8:11" ht="12.75">
      <c r="H46">
        <v>1</v>
      </c>
      <c r="I46" s="20">
        <v>0.01392</v>
      </c>
      <c r="J46">
        <f>(I46)/H46</f>
        <v>0.01392</v>
      </c>
      <c r="K46">
        <f>1/J46</f>
        <v>71.83908045977012</v>
      </c>
    </row>
    <row r="47" spans="1:11" ht="12.75">
      <c r="A47" t="s">
        <v>6</v>
      </c>
      <c r="G47" t="s">
        <v>6</v>
      </c>
      <c r="H47">
        <v>3</v>
      </c>
      <c r="I47" s="20">
        <v>0.04001</v>
      </c>
      <c r="J47">
        <f>(I47)/H47</f>
        <v>0.013336666666666665</v>
      </c>
      <c r="K47">
        <f>1/J47</f>
        <v>74.98125468632843</v>
      </c>
    </row>
    <row r="48" ht="12.75">
      <c r="I48" s="3"/>
    </row>
    <row r="49" ht="12.75">
      <c r="I49" s="3"/>
    </row>
    <row r="50" spans="1:9" ht="12.75">
      <c r="A50" t="s">
        <v>76</v>
      </c>
      <c r="I50" s="3"/>
    </row>
    <row r="51" spans="1:9" ht="12.75">
      <c r="A51" t="s">
        <v>99</v>
      </c>
      <c r="B51">
        <v>1</v>
      </c>
      <c r="C51" t="s">
        <v>54</v>
      </c>
      <c r="D51">
        <f>B52-B51</f>
        <v>0.27</v>
      </c>
      <c r="E51" t="s">
        <v>55</v>
      </c>
      <c r="I51" s="3"/>
    </row>
    <row r="52" spans="1:12" ht="12.75">
      <c r="A52" t="s">
        <v>52</v>
      </c>
      <c r="B52">
        <v>1.27</v>
      </c>
      <c r="I52" s="7" t="s">
        <v>66</v>
      </c>
      <c r="J52">
        <f>AVERAGE(J44:J50)</f>
        <v>0.012649166666666666</v>
      </c>
      <c r="K52">
        <f>AVERAGE(K45:K47)</f>
        <v>75.95253743119547</v>
      </c>
      <c r="L52" t="s">
        <v>171</v>
      </c>
    </row>
    <row r="53" spans="1:11" ht="12.75">
      <c r="A53" t="s">
        <v>74</v>
      </c>
      <c r="B53">
        <v>1.93</v>
      </c>
      <c r="K53" t="s">
        <v>69</v>
      </c>
    </row>
    <row r="54" spans="1:11" ht="12.75">
      <c r="A54" t="s">
        <v>53</v>
      </c>
      <c r="B54">
        <v>2.13</v>
      </c>
      <c r="C54" t="s">
        <v>0</v>
      </c>
      <c r="D54">
        <f>B54-B52</f>
        <v>0.8599999999999999</v>
      </c>
      <c r="E54" t="s">
        <v>55</v>
      </c>
      <c r="K54" t="s">
        <v>70</v>
      </c>
    </row>
    <row r="55" spans="1:5" ht="12.75">
      <c r="A55" t="s">
        <v>169</v>
      </c>
      <c r="B55">
        <v>4.2</v>
      </c>
      <c r="C55" t="s">
        <v>170</v>
      </c>
      <c r="D55">
        <f>B55-B52</f>
        <v>2.93</v>
      </c>
      <c r="E55" t="s">
        <v>55</v>
      </c>
    </row>
    <row r="58" ht="12.75">
      <c r="D58" s="2"/>
    </row>
    <row r="59" ht="12.75">
      <c r="A59" t="s">
        <v>71</v>
      </c>
    </row>
    <row r="60" ht="12.75">
      <c r="A60" s="8">
        <v>39437</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 min="5" max="5" width="21.28125" style="0" customWidth="1"/>
  </cols>
  <sheetData>
    <row r="1" ht="12.75">
      <c r="A1" t="s">
        <v>162</v>
      </c>
    </row>
    <row r="9" spans="1:5" ht="12.75">
      <c r="A9" t="s">
        <v>24</v>
      </c>
      <c r="B9" t="s">
        <v>28</v>
      </c>
      <c r="D9" t="s">
        <v>34</v>
      </c>
      <c r="E9" t="s">
        <v>40</v>
      </c>
    </row>
    <row r="10" spans="1:5" ht="12.75">
      <c r="A10" s="1">
        <v>0.00090425</v>
      </c>
      <c r="B10" s="1">
        <f>((ABS(A10))*75.95254)-0.0687</f>
        <v>-1.9915704999998174E-05</v>
      </c>
      <c r="C10" t="s">
        <v>6</v>
      </c>
      <c r="D10" s="20">
        <f>MAX(B10:B384)</f>
        <v>2.8992214530399996</v>
      </c>
      <c r="E10" s="1">
        <f>D10/10</f>
        <v>0.28992214530399996</v>
      </c>
    </row>
    <row r="11" spans="1:3" ht="12.75">
      <c r="A11" s="1">
        <v>9.6884E-05</v>
      </c>
      <c r="B11" s="1">
        <f aca="true" t="shared" si="0" ref="B11:B74">((ABS(A11))*75.95254)-0.0687</f>
        <v>-0.061341414114639996</v>
      </c>
      <c r="C11" t="s">
        <v>6</v>
      </c>
    </row>
    <row r="12" spans="1:2" ht="12.75">
      <c r="A12" s="1">
        <v>-0.00035524</v>
      </c>
      <c r="B12" s="1">
        <f t="shared" si="0"/>
        <v>-0.0417186196904</v>
      </c>
    </row>
    <row r="13" spans="1:4" ht="12.75">
      <c r="A13" s="1">
        <v>0.00045212</v>
      </c>
      <c r="B13" s="1">
        <f t="shared" si="0"/>
        <v>-0.0343603376152</v>
      </c>
      <c r="D13" t="s">
        <v>6</v>
      </c>
    </row>
    <row r="14" spans="1:4" ht="12.75">
      <c r="A14" s="1">
        <v>0.00087195</v>
      </c>
      <c r="B14" s="1">
        <f t="shared" si="0"/>
        <v>-0.002473182746999994</v>
      </c>
      <c r="D14" t="s">
        <v>6</v>
      </c>
    </row>
    <row r="15" spans="1:4" ht="12.75">
      <c r="A15" s="1">
        <v>0</v>
      </c>
      <c r="B15" s="1">
        <f t="shared" si="0"/>
        <v>-0.0687</v>
      </c>
      <c r="D15" t="s">
        <v>6</v>
      </c>
    </row>
    <row r="16" spans="1:2" ht="12.75">
      <c r="A16" s="1">
        <v>-0.00035524</v>
      </c>
      <c r="B16" s="1">
        <f t="shared" si="0"/>
        <v>-0.0417186196904</v>
      </c>
    </row>
    <row r="17" spans="1:2" ht="12.75">
      <c r="A17" s="1">
        <v>0.00041983</v>
      </c>
      <c r="B17" s="1">
        <f t="shared" si="0"/>
        <v>-0.0368128451318</v>
      </c>
    </row>
    <row r="18" spans="1:2" ht="12.75">
      <c r="A18" s="1">
        <v>0.00083966</v>
      </c>
      <c r="B18" s="1">
        <f t="shared" si="0"/>
        <v>-0.004925690263599999</v>
      </c>
    </row>
    <row r="19" spans="1:2" ht="12.75">
      <c r="A19" s="1">
        <v>0</v>
      </c>
      <c r="B19" s="1">
        <f t="shared" si="0"/>
        <v>-0.0687</v>
      </c>
    </row>
    <row r="20" spans="1:2" ht="12.75">
      <c r="A20" s="1">
        <v>-0.00038754</v>
      </c>
      <c r="B20" s="1">
        <f t="shared" si="0"/>
        <v>-0.0392653526484</v>
      </c>
    </row>
    <row r="21" spans="1:2" ht="12.75">
      <c r="A21" s="1">
        <v>0.00029065</v>
      </c>
      <c r="B21" s="1">
        <f t="shared" si="0"/>
        <v>-0.046624394249</v>
      </c>
    </row>
    <row r="22" spans="1:2" ht="12.75">
      <c r="A22" s="1">
        <v>0.00048442</v>
      </c>
      <c r="B22" s="1">
        <f t="shared" si="0"/>
        <v>-0.0319070705732</v>
      </c>
    </row>
    <row r="23" spans="1:3" ht="12.75">
      <c r="A23" s="1">
        <v>-0.00038754</v>
      </c>
      <c r="B23" s="1">
        <f t="shared" si="0"/>
        <v>-0.0392653526484</v>
      </c>
      <c r="C23" t="s">
        <v>6</v>
      </c>
    </row>
    <row r="24" spans="1:2" ht="12.75">
      <c r="A24" s="1">
        <v>-0.00077507</v>
      </c>
      <c r="B24" s="1">
        <f t="shared" si="0"/>
        <v>-0.0098314648222</v>
      </c>
    </row>
    <row r="25" spans="1:2" ht="12.75">
      <c r="A25" s="1">
        <v>3.2295E-05</v>
      </c>
      <c r="B25" s="1">
        <f t="shared" si="0"/>
        <v>-0.0662471127207</v>
      </c>
    </row>
    <row r="26" spans="1:2" ht="12.75">
      <c r="A26" s="1">
        <v>0.00019377</v>
      </c>
      <c r="B26" s="1">
        <f t="shared" si="0"/>
        <v>-0.053982676324199994</v>
      </c>
    </row>
    <row r="27" spans="1:2" ht="12.75">
      <c r="A27" s="1">
        <v>-0.00035524</v>
      </c>
      <c r="B27" s="1">
        <f t="shared" si="0"/>
        <v>-0.0417186196904</v>
      </c>
    </row>
    <row r="28" spans="1:2" ht="12.75">
      <c r="A28" s="1">
        <v>-0.00074278</v>
      </c>
      <c r="B28" s="1">
        <f t="shared" si="0"/>
        <v>-0.012283972338799999</v>
      </c>
    </row>
    <row r="29" spans="1:2" ht="12.75">
      <c r="A29" s="1">
        <v>3.2295E-05</v>
      </c>
      <c r="B29" s="1">
        <f t="shared" si="0"/>
        <v>-0.0662471127207</v>
      </c>
    </row>
    <row r="30" spans="1:2" ht="12.75">
      <c r="A30" s="1">
        <v>0.0005813</v>
      </c>
      <c r="B30" s="1">
        <f t="shared" si="0"/>
        <v>-0.024548788497999997</v>
      </c>
    </row>
    <row r="31" spans="1:2" ht="12.75">
      <c r="A31" s="1">
        <v>-6.4589E-05</v>
      </c>
      <c r="B31" s="1">
        <f t="shared" si="0"/>
        <v>-0.06379430139394</v>
      </c>
    </row>
    <row r="32" spans="1:2" ht="12.75">
      <c r="A32" s="1">
        <v>-0.00045212</v>
      </c>
      <c r="B32" s="1">
        <f t="shared" si="0"/>
        <v>-0.0343603376152</v>
      </c>
    </row>
    <row r="33" spans="1:2" ht="12.75">
      <c r="A33" s="1">
        <v>0.00025836</v>
      </c>
      <c r="B33" s="1">
        <f t="shared" si="0"/>
        <v>-0.04907690176559999</v>
      </c>
    </row>
    <row r="34" spans="1:2" ht="12.75">
      <c r="A34" s="1">
        <v>0.0006136</v>
      </c>
      <c r="B34" s="1">
        <f t="shared" si="0"/>
        <v>-0.022095521456</v>
      </c>
    </row>
    <row r="35" spans="1:2" ht="12.75">
      <c r="A35" s="1">
        <v>-0.00022606</v>
      </c>
      <c r="B35" s="1">
        <f t="shared" si="0"/>
        <v>-0.0515301688076</v>
      </c>
    </row>
    <row r="36" spans="1:2" ht="12.75">
      <c r="A36" s="1">
        <v>-0.0005813</v>
      </c>
      <c r="B36" s="1">
        <f t="shared" si="0"/>
        <v>-0.024548788497999997</v>
      </c>
    </row>
    <row r="37" spans="1:2" ht="12.75">
      <c r="A37" s="1">
        <v>9.6884E-05</v>
      </c>
      <c r="B37" s="1">
        <f t="shared" si="0"/>
        <v>-0.061341414114639996</v>
      </c>
    </row>
    <row r="38" spans="1:2" ht="12.75">
      <c r="A38" s="1">
        <v>0.00048442</v>
      </c>
      <c r="B38" s="1">
        <f t="shared" si="0"/>
        <v>-0.0319070705732</v>
      </c>
    </row>
    <row r="39" spans="1:2" ht="12.75">
      <c r="A39" s="1">
        <v>-0.00029065</v>
      </c>
      <c r="B39" s="1">
        <f t="shared" si="0"/>
        <v>-0.046624394249</v>
      </c>
    </row>
    <row r="40" spans="1:2" ht="12.75">
      <c r="A40" s="1">
        <v>-0.00067819</v>
      </c>
      <c r="B40" s="1">
        <f t="shared" si="0"/>
        <v>-0.0171897468974</v>
      </c>
    </row>
    <row r="41" spans="1:2" ht="12.75">
      <c r="A41" s="1">
        <v>3.2295E-05</v>
      </c>
      <c r="B41" s="1">
        <f t="shared" si="0"/>
        <v>-0.0662471127207</v>
      </c>
    </row>
    <row r="42" spans="1:2" ht="12.75">
      <c r="A42" s="1">
        <v>0.00032295</v>
      </c>
      <c r="B42" s="1">
        <f t="shared" si="0"/>
        <v>-0.04417112720699999</v>
      </c>
    </row>
    <row r="43" spans="1:2" ht="12.75">
      <c r="A43" s="1">
        <v>-0.00048442</v>
      </c>
      <c r="B43" s="1">
        <f t="shared" si="0"/>
        <v>-0.0319070705732</v>
      </c>
    </row>
    <row r="44" spans="1:2" ht="12.75">
      <c r="A44" s="1">
        <v>-0.00083966</v>
      </c>
      <c r="B44" s="1">
        <f t="shared" si="0"/>
        <v>-0.004925690263599999</v>
      </c>
    </row>
    <row r="45" spans="1:2" ht="12.75">
      <c r="A45" s="1">
        <v>-0.00029065</v>
      </c>
      <c r="B45" s="1">
        <f t="shared" si="0"/>
        <v>-0.046624394249</v>
      </c>
    </row>
    <row r="46" spans="1:2" ht="12.75">
      <c r="A46" s="1">
        <v>9.6884E-05</v>
      </c>
      <c r="B46" s="1">
        <f t="shared" si="0"/>
        <v>-0.061341414114639996</v>
      </c>
    </row>
    <row r="47" spans="1:2" ht="12.75">
      <c r="A47" s="1">
        <v>-0.00071048</v>
      </c>
      <c r="B47" s="1">
        <f t="shared" si="0"/>
        <v>-0.014737239380800002</v>
      </c>
    </row>
    <row r="48" spans="1:2" ht="12.75">
      <c r="A48" s="1">
        <v>-0.0012918</v>
      </c>
      <c r="B48" s="1">
        <f t="shared" si="0"/>
        <v>0.029415491172000013</v>
      </c>
    </row>
    <row r="49" spans="1:2" ht="12.75">
      <c r="A49" s="1">
        <v>-0.00064589</v>
      </c>
      <c r="B49" s="1">
        <f t="shared" si="0"/>
        <v>-0.019643013939399996</v>
      </c>
    </row>
    <row r="50" spans="1:2" ht="12.75">
      <c r="A50" s="1">
        <v>-0.00038754</v>
      </c>
      <c r="B50" s="1">
        <f t="shared" si="0"/>
        <v>-0.0392653526484</v>
      </c>
    </row>
    <row r="51" spans="1:2" ht="12.75">
      <c r="A51" s="1">
        <v>-0.0013887</v>
      </c>
      <c r="B51" s="1">
        <f t="shared" si="0"/>
        <v>0.036775292298000015</v>
      </c>
    </row>
    <row r="52" spans="1:2" ht="12.75">
      <c r="A52" s="1">
        <v>-0.0019054</v>
      </c>
      <c r="B52" s="1">
        <f t="shared" si="0"/>
        <v>0.07601996971600002</v>
      </c>
    </row>
    <row r="53" spans="1:2" ht="12.75">
      <c r="A53" s="1">
        <v>-0.0013241</v>
      </c>
      <c r="B53" s="1">
        <f t="shared" si="0"/>
        <v>0.031868758213999995</v>
      </c>
    </row>
    <row r="54" spans="1:3" ht="12.75">
      <c r="A54" s="1">
        <v>-0.0010334</v>
      </c>
      <c r="B54" s="1">
        <f t="shared" si="0"/>
        <v>0.009789354836000005</v>
      </c>
      <c r="C54" s="1"/>
    </row>
    <row r="55" spans="1:2" ht="12.75">
      <c r="A55" s="1">
        <v>-0.0020023</v>
      </c>
      <c r="B55" s="1">
        <f t="shared" si="0"/>
        <v>0.08337977084199998</v>
      </c>
    </row>
    <row r="56" spans="1:2" ht="12.75">
      <c r="A56" s="1">
        <v>-0.0024544</v>
      </c>
      <c r="B56" s="1">
        <f t="shared" si="0"/>
        <v>0.11771791417599999</v>
      </c>
    </row>
    <row r="57" spans="1:2" ht="12.75">
      <c r="A57" s="1">
        <v>-0.0019377</v>
      </c>
      <c r="B57" s="1">
        <f t="shared" si="0"/>
        <v>0.07847323675800001</v>
      </c>
    </row>
    <row r="58" spans="1:2" ht="12.75">
      <c r="A58" s="1">
        <v>-0.0018085</v>
      </c>
      <c r="B58" s="1">
        <f t="shared" si="0"/>
        <v>0.06866016859</v>
      </c>
    </row>
    <row r="59" spans="1:2" ht="12.75">
      <c r="A59" s="1">
        <v>-0.0026482</v>
      </c>
      <c r="B59" s="1">
        <f t="shared" si="0"/>
        <v>0.132437516428</v>
      </c>
    </row>
    <row r="60" spans="1:2" ht="12.75">
      <c r="A60" s="1">
        <v>-0.0032295</v>
      </c>
      <c r="B60" s="1">
        <f t="shared" si="0"/>
        <v>0.17658872793000002</v>
      </c>
    </row>
    <row r="61" spans="1:2" ht="12.75">
      <c r="A61" s="1">
        <v>-0.0028742</v>
      </c>
      <c r="B61" s="1">
        <f t="shared" si="0"/>
        <v>0.149602790468</v>
      </c>
    </row>
    <row r="62" spans="1:2" ht="12.75">
      <c r="A62" s="1">
        <v>-0.0024867</v>
      </c>
      <c r="B62" s="1">
        <f t="shared" si="0"/>
        <v>0.12017118121800001</v>
      </c>
    </row>
    <row r="63" spans="1:2" ht="12.75">
      <c r="A63" s="1">
        <v>-0.0033909</v>
      </c>
      <c r="B63" s="1">
        <f t="shared" si="0"/>
        <v>0.18884746788600004</v>
      </c>
    </row>
    <row r="64" spans="1:2" ht="12.75">
      <c r="A64" s="1">
        <v>-0.0040045</v>
      </c>
      <c r="B64" s="1">
        <f t="shared" si="0"/>
        <v>0.23545194643000006</v>
      </c>
    </row>
    <row r="65" spans="1:2" ht="12.75">
      <c r="A65" s="1">
        <v>-0.0033909</v>
      </c>
      <c r="B65" s="1">
        <f t="shared" si="0"/>
        <v>0.18884746788600004</v>
      </c>
    </row>
    <row r="66" spans="1:2" ht="12.75">
      <c r="A66" s="1">
        <v>-0.0031326</v>
      </c>
      <c r="B66" s="1">
        <f t="shared" si="0"/>
        <v>0.16922892680400003</v>
      </c>
    </row>
    <row r="67" spans="1:3" ht="12.75">
      <c r="A67" s="1">
        <v>-0.0039722</v>
      </c>
      <c r="B67" s="1">
        <f t="shared" si="0"/>
        <v>0.23299867938800006</v>
      </c>
      <c r="C67" t="s">
        <v>48</v>
      </c>
    </row>
    <row r="68" spans="1:2" ht="12.75">
      <c r="A68" s="1">
        <v>-0.0045535</v>
      </c>
      <c r="B68" s="1">
        <f t="shared" si="0"/>
        <v>0.27714989089000003</v>
      </c>
    </row>
    <row r="69" spans="1:2" ht="12.75">
      <c r="A69" s="1">
        <v>-0.0039076</v>
      </c>
      <c r="B69" s="1">
        <f t="shared" si="0"/>
        <v>0.22809214530400002</v>
      </c>
    </row>
    <row r="70" spans="1:2" ht="12.75">
      <c r="A70" s="1">
        <v>-0.003617</v>
      </c>
      <c r="B70" s="1">
        <f t="shared" si="0"/>
        <v>0.20602033718</v>
      </c>
    </row>
    <row r="71" spans="1:2" ht="12.75">
      <c r="A71" s="1">
        <v>-0.0045858</v>
      </c>
      <c r="B71" s="1">
        <f t="shared" si="0"/>
        <v>0.279603157932</v>
      </c>
    </row>
    <row r="72" spans="1:2" ht="12.75">
      <c r="A72" s="1">
        <v>-0.0050057</v>
      </c>
      <c r="B72" s="1">
        <f t="shared" si="0"/>
        <v>0.311495629478</v>
      </c>
    </row>
    <row r="73" spans="1:2" ht="12.75">
      <c r="A73" s="1">
        <v>-0.0044244</v>
      </c>
      <c r="B73" s="1">
        <f t="shared" si="0"/>
        <v>0.267344417976</v>
      </c>
    </row>
    <row r="74" spans="1:2" ht="12.75">
      <c r="A74" s="1">
        <v>-0.0044244</v>
      </c>
      <c r="B74" s="1">
        <f t="shared" si="0"/>
        <v>0.267344417976</v>
      </c>
    </row>
    <row r="75" spans="1:2" ht="12.75">
      <c r="A75" s="1">
        <v>-0.0054578</v>
      </c>
      <c r="B75" s="1">
        <f aca="true" t="shared" si="1" ref="B75:B138">((ABS(A75))*75.95254)-0.0687</f>
        <v>0.345833772812</v>
      </c>
    </row>
    <row r="76" spans="1:2" ht="12.75">
      <c r="A76" s="1">
        <v>-0.0060714</v>
      </c>
      <c r="B76" s="1">
        <f t="shared" si="1"/>
        <v>0.392438251356</v>
      </c>
    </row>
    <row r="77" spans="1:2" ht="12.75">
      <c r="A77" s="1">
        <v>-0.0054578</v>
      </c>
      <c r="B77" s="1">
        <f t="shared" si="1"/>
        <v>0.345833772812</v>
      </c>
    </row>
    <row r="78" spans="1:2" ht="12.75">
      <c r="A78" s="1">
        <v>-0.0053932</v>
      </c>
      <c r="B78" s="1">
        <f t="shared" si="1"/>
        <v>0.340927238728</v>
      </c>
    </row>
    <row r="79" spans="1:2" ht="12.75">
      <c r="A79" s="1">
        <v>-0.0063943</v>
      </c>
      <c r="B79" s="1">
        <f t="shared" si="1"/>
        <v>0.416963326522</v>
      </c>
    </row>
    <row r="80" spans="1:2" ht="12.75">
      <c r="A80" s="1">
        <v>-0.0072663</v>
      </c>
      <c r="B80" s="1">
        <f t="shared" si="1"/>
        <v>0.483193941402</v>
      </c>
    </row>
    <row r="81" spans="1:2" ht="12.75">
      <c r="A81" s="1">
        <v>-0.0065235</v>
      </c>
      <c r="B81" s="1">
        <f t="shared" si="1"/>
        <v>0.42677639469</v>
      </c>
    </row>
    <row r="82" spans="1:2" ht="12.75">
      <c r="A82" s="1">
        <v>-0.0066204</v>
      </c>
      <c r="B82" s="1">
        <f t="shared" si="1"/>
        <v>0.43413619581600005</v>
      </c>
    </row>
    <row r="83" spans="1:2" ht="12.75">
      <c r="A83" s="1">
        <v>-0.0073309</v>
      </c>
      <c r="B83" s="1">
        <f t="shared" si="1"/>
        <v>0.488100475486</v>
      </c>
    </row>
    <row r="84" spans="1:2" ht="12.75">
      <c r="A84" s="1">
        <v>-0.0079122</v>
      </c>
      <c r="B84" s="1">
        <f t="shared" si="1"/>
        <v>0.532251686988</v>
      </c>
    </row>
    <row r="85" spans="1:2" ht="12.75">
      <c r="A85" s="1">
        <v>-0.0074601</v>
      </c>
      <c r="B85" s="1">
        <f t="shared" si="1"/>
        <v>0.497913543654</v>
      </c>
    </row>
    <row r="86" spans="1:2" ht="12.75">
      <c r="A86" s="1">
        <v>-0.0073309</v>
      </c>
      <c r="B86" s="1">
        <f t="shared" si="1"/>
        <v>0.488100475486</v>
      </c>
    </row>
    <row r="87" spans="1:2" ht="12.75">
      <c r="A87" s="1">
        <v>-0.0085258</v>
      </c>
      <c r="B87" s="1">
        <f t="shared" si="1"/>
        <v>0.578856165532</v>
      </c>
    </row>
    <row r="88" spans="1:2" ht="12.75">
      <c r="A88" s="1">
        <v>-0.0092363</v>
      </c>
      <c r="B88" s="1">
        <f t="shared" si="1"/>
        <v>0.632820445202</v>
      </c>
    </row>
    <row r="89" spans="1:2" ht="12.75">
      <c r="A89" s="1">
        <v>-0.0088164</v>
      </c>
      <c r="B89" s="1">
        <f t="shared" si="1"/>
        <v>0.600927973656</v>
      </c>
    </row>
    <row r="90" spans="1:2" ht="12.75">
      <c r="A90" s="1">
        <v>-0.0085581</v>
      </c>
      <c r="B90" s="1">
        <f t="shared" si="1"/>
        <v>0.581309432574</v>
      </c>
    </row>
    <row r="91" spans="1:2" ht="12.75">
      <c r="A91" s="1">
        <v>-0.0095915</v>
      </c>
      <c r="B91" s="1">
        <f t="shared" si="1"/>
        <v>0.65979878741</v>
      </c>
    </row>
    <row r="92" spans="1:2" ht="12.75">
      <c r="A92" s="1">
        <v>-0.010593</v>
      </c>
      <c r="B92" s="1">
        <f t="shared" si="1"/>
        <v>0.73586525622</v>
      </c>
    </row>
    <row r="93" spans="1:2" ht="12.75">
      <c r="A93" s="1">
        <v>-0.009753</v>
      </c>
      <c r="B93" s="1">
        <f t="shared" si="1"/>
        <v>0.67206512262</v>
      </c>
    </row>
    <row r="94" spans="1:2" ht="12.75">
      <c r="A94" s="1">
        <v>-0.0097207</v>
      </c>
      <c r="B94" s="1">
        <f t="shared" si="1"/>
        <v>0.6696118555780001</v>
      </c>
    </row>
    <row r="95" spans="1:2" ht="12.75">
      <c r="A95" s="1">
        <v>-0.010754</v>
      </c>
      <c r="B95" s="1">
        <f t="shared" si="1"/>
        <v>0.74809361516</v>
      </c>
    </row>
    <row r="96" spans="1:2" ht="12.75">
      <c r="A96" s="1">
        <v>-0.011239</v>
      </c>
      <c r="B96" s="1">
        <f t="shared" si="1"/>
        <v>0.78493059706</v>
      </c>
    </row>
    <row r="97" spans="1:2" ht="12.75">
      <c r="A97" s="1">
        <v>-0.010883</v>
      </c>
      <c r="B97" s="1">
        <f t="shared" si="1"/>
        <v>0.75789149282</v>
      </c>
    </row>
    <row r="98" spans="1:2" ht="12.75">
      <c r="A98" s="1">
        <v>-0.010883</v>
      </c>
      <c r="B98" s="1">
        <f t="shared" si="1"/>
        <v>0.75789149282</v>
      </c>
    </row>
    <row r="99" spans="1:2" ht="12.75">
      <c r="A99" s="1">
        <v>-0.011626</v>
      </c>
      <c r="B99" s="1">
        <f t="shared" si="1"/>
        <v>0.81432423004</v>
      </c>
    </row>
    <row r="100" spans="1:2" ht="12.75">
      <c r="A100" s="1">
        <v>-0.012304</v>
      </c>
      <c r="B100" s="1">
        <f t="shared" si="1"/>
        <v>0.86582005216</v>
      </c>
    </row>
    <row r="101" spans="1:2" ht="12.75">
      <c r="A101" s="1">
        <v>-0.011723</v>
      </c>
      <c r="B101" s="1">
        <f t="shared" si="1"/>
        <v>0.82169162642</v>
      </c>
    </row>
    <row r="102" spans="1:2" ht="12.75">
      <c r="A102" s="1">
        <v>-0.011626</v>
      </c>
      <c r="B102" s="1">
        <f t="shared" si="1"/>
        <v>0.81432423004</v>
      </c>
    </row>
    <row r="103" spans="1:2" ht="12.75">
      <c r="A103" s="1">
        <v>-0.012789</v>
      </c>
      <c r="B103" s="1">
        <f t="shared" si="1"/>
        <v>0.90265703406</v>
      </c>
    </row>
    <row r="104" spans="1:2" ht="12.75">
      <c r="A104" s="1">
        <v>-0.013079</v>
      </c>
      <c r="B104" s="1">
        <f t="shared" si="1"/>
        <v>0.92468327066</v>
      </c>
    </row>
    <row r="105" spans="1:2" ht="12.75">
      <c r="A105" s="1">
        <v>-0.012692</v>
      </c>
      <c r="B105" s="1">
        <f t="shared" si="1"/>
        <v>0.89528963768</v>
      </c>
    </row>
    <row r="106" spans="1:2" ht="12.75">
      <c r="A106" s="1">
        <v>-0.012886</v>
      </c>
      <c r="B106" s="1">
        <f t="shared" si="1"/>
        <v>0.91002443044</v>
      </c>
    </row>
    <row r="107" spans="1:2" ht="12.75">
      <c r="A107" s="1">
        <v>-0.013467</v>
      </c>
      <c r="B107" s="1">
        <f t="shared" si="1"/>
        <v>0.9541528561799999</v>
      </c>
    </row>
    <row r="108" spans="1:2" ht="12.75">
      <c r="A108" s="1">
        <v>-0.014177</v>
      </c>
      <c r="B108" s="1">
        <f t="shared" si="1"/>
        <v>1.00807915958</v>
      </c>
    </row>
    <row r="109" spans="1:2" ht="12.75">
      <c r="A109" s="1">
        <v>-0.013499</v>
      </c>
      <c r="B109" s="1">
        <f t="shared" si="1"/>
        <v>0.9565833374600001</v>
      </c>
    </row>
    <row r="110" spans="1:2" ht="12.75">
      <c r="A110" s="1">
        <v>-0.013305</v>
      </c>
      <c r="B110" s="1">
        <f t="shared" si="1"/>
        <v>0.9418485447</v>
      </c>
    </row>
    <row r="111" spans="1:2" ht="12.75">
      <c r="A111" s="1">
        <v>-0.014177</v>
      </c>
      <c r="B111" s="1">
        <f t="shared" si="1"/>
        <v>1.00807915958</v>
      </c>
    </row>
    <row r="112" spans="1:2" ht="12.75">
      <c r="A112" s="1">
        <v>-0.014856</v>
      </c>
      <c r="B112" s="1">
        <f t="shared" si="1"/>
        <v>1.05965093424</v>
      </c>
    </row>
    <row r="113" spans="1:2" ht="12.75">
      <c r="A113" s="1">
        <v>-0.014307</v>
      </c>
      <c r="B113" s="1">
        <f t="shared" si="1"/>
        <v>1.01795298978</v>
      </c>
    </row>
    <row r="114" spans="1:2" ht="12.75">
      <c r="A114" s="1">
        <v>-0.01408</v>
      </c>
      <c r="B114" s="1">
        <f t="shared" si="1"/>
        <v>1.0007117632</v>
      </c>
    </row>
    <row r="115" spans="1:2" ht="12.75">
      <c r="A115" s="1">
        <v>-0.014888</v>
      </c>
      <c r="B115" s="1">
        <f t="shared" si="1"/>
        <v>1.06208141552</v>
      </c>
    </row>
    <row r="116" spans="1:2" ht="12.75">
      <c r="A116" s="1">
        <v>-0.015501</v>
      </c>
      <c r="B116" s="1">
        <f t="shared" si="1"/>
        <v>1.10864032254</v>
      </c>
    </row>
    <row r="117" spans="1:2" ht="12.75">
      <c r="A117" s="1">
        <v>-0.014952</v>
      </c>
      <c r="B117" s="1">
        <f t="shared" si="1"/>
        <v>1.06694237808</v>
      </c>
    </row>
    <row r="118" spans="1:2" ht="12.75">
      <c r="A118" s="1">
        <v>-0.015049</v>
      </c>
      <c r="B118" s="1">
        <f t="shared" si="1"/>
        <v>1.07430977446</v>
      </c>
    </row>
    <row r="119" spans="1:2" ht="12.75">
      <c r="A119" s="1">
        <v>-0.016115</v>
      </c>
      <c r="B119" s="1">
        <f t="shared" si="1"/>
        <v>1.1552751821</v>
      </c>
    </row>
    <row r="120" spans="1:2" ht="12.75">
      <c r="A120" s="1">
        <v>-0.016599</v>
      </c>
      <c r="B120" s="1">
        <f t="shared" si="1"/>
        <v>1.1920362114599998</v>
      </c>
    </row>
    <row r="121" spans="1:2" ht="12.75">
      <c r="A121" s="1">
        <v>-0.016018</v>
      </c>
      <c r="B121" s="1">
        <f t="shared" si="1"/>
        <v>1.1479077857200002</v>
      </c>
    </row>
    <row r="122" spans="1:2" ht="12.75">
      <c r="A122" s="1">
        <v>-0.016018</v>
      </c>
      <c r="B122" s="1">
        <f t="shared" si="1"/>
        <v>1.1479077857200002</v>
      </c>
    </row>
    <row r="123" spans="1:2" ht="12.75">
      <c r="A123" s="1">
        <v>-0.01689</v>
      </c>
      <c r="B123" s="1">
        <f t="shared" si="1"/>
        <v>1.2141384006</v>
      </c>
    </row>
    <row r="124" spans="1:2" ht="12.75">
      <c r="A124" s="1">
        <v>-0.017794</v>
      </c>
      <c r="B124" s="1">
        <f t="shared" si="1"/>
        <v>1.28279949676</v>
      </c>
    </row>
    <row r="125" spans="1:2" ht="12.75">
      <c r="A125" s="1">
        <v>-0.016761</v>
      </c>
      <c r="B125" s="1">
        <f t="shared" si="1"/>
        <v>1.2043405229400002</v>
      </c>
    </row>
    <row r="126" spans="1:2" ht="12.75">
      <c r="A126" s="1">
        <v>-0.017019</v>
      </c>
      <c r="B126" s="1">
        <f t="shared" si="1"/>
        <v>1.22393627826</v>
      </c>
    </row>
    <row r="127" spans="1:2" ht="12.75">
      <c r="A127" s="1">
        <v>-0.018473</v>
      </c>
      <c r="B127" s="1">
        <f t="shared" si="1"/>
        <v>1.33437127142</v>
      </c>
    </row>
    <row r="128" spans="1:2" ht="12.75">
      <c r="A128" s="1">
        <v>-0.01886</v>
      </c>
      <c r="B128" s="1">
        <f t="shared" si="1"/>
        <v>1.3637649044</v>
      </c>
    </row>
    <row r="129" spans="1:2" ht="12.75">
      <c r="A129" s="1">
        <v>-0.01815</v>
      </c>
      <c r="B129" s="1">
        <f t="shared" si="1"/>
        <v>1.309838601</v>
      </c>
    </row>
    <row r="130" spans="1:2" ht="12.75">
      <c r="A130" s="1">
        <v>-0.018408</v>
      </c>
      <c r="B130" s="1">
        <f t="shared" si="1"/>
        <v>1.32943435632</v>
      </c>
    </row>
    <row r="131" spans="1:2" ht="12.75">
      <c r="A131" s="1">
        <v>-0.019409</v>
      </c>
      <c r="B131" s="1">
        <f t="shared" si="1"/>
        <v>1.4054628488599998</v>
      </c>
    </row>
    <row r="132" spans="1:2" ht="12.75">
      <c r="A132" s="1">
        <v>-0.01999</v>
      </c>
      <c r="B132" s="1">
        <f t="shared" si="1"/>
        <v>1.4495912746000001</v>
      </c>
    </row>
    <row r="133" spans="1:2" ht="12.75">
      <c r="A133" s="1">
        <v>-0.019603</v>
      </c>
      <c r="B133" s="1">
        <f t="shared" si="1"/>
        <v>1.42019764162</v>
      </c>
    </row>
    <row r="134" spans="1:2" ht="12.75">
      <c r="A134" s="1">
        <v>-0.019732</v>
      </c>
      <c r="B134" s="1">
        <f t="shared" si="1"/>
        <v>1.42999551928</v>
      </c>
    </row>
    <row r="135" spans="1:2" ht="12.75">
      <c r="A135" s="1">
        <v>-0.020442</v>
      </c>
      <c r="B135" s="1">
        <f t="shared" si="1"/>
        <v>1.48392182268</v>
      </c>
    </row>
    <row r="136" spans="1:2" ht="12.75">
      <c r="A136" s="1">
        <v>-0.021121</v>
      </c>
      <c r="B136" s="1">
        <f t="shared" si="1"/>
        <v>1.5354935973400001</v>
      </c>
    </row>
    <row r="137" spans="1:2" ht="12.75">
      <c r="A137" s="1">
        <v>-0.020765</v>
      </c>
      <c r="B137" s="1">
        <f t="shared" si="1"/>
        <v>1.5084544931</v>
      </c>
    </row>
    <row r="138" spans="1:2" ht="12.75">
      <c r="A138" s="1">
        <v>-0.021056</v>
      </c>
      <c r="B138" s="1">
        <f t="shared" si="1"/>
        <v>1.5305566822399999</v>
      </c>
    </row>
    <row r="139" spans="1:2" ht="12.75">
      <c r="A139" s="1">
        <v>-0.021702</v>
      </c>
      <c r="B139" s="1">
        <f aca="true" t="shared" si="2" ref="B139:B202">((ABS(A139))*75.95254)-0.0687</f>
        <v>1.57962202308</v>
      </c>
    </row>
    <row r="140" spans="1:2" ht="12.75">
      <c r="A140" s="1">
        <v>-0.022154</v>
      </c>
      <c r="B140" s="1">
        <f t="shared" si="2"/>
        <v>1.61395257116</v>
      </c>
    </row>
    <row r="141" spans="1:2" ht="12.75">
      <c r="A141" s="1">
        <v>-0.021573</v>
      </c>
      <c r="B141" s="1">
        <f t="shared" si="2"/>
        <v>1.56982414542</v>
      </c>
    </row>
    <row r="142" spans="1:2" ht="12.75">
      <c r="A142" s="1">
        <v>-0.021282</v>
      </c>
      <c r="B142" s="1">
        <f t="shared" si="2"/>
        <v>1.54772195628</v>
      </c>
    </row>
    <row r="143" spans="1:2" ht="12.75">
      <c r="A143" s="1">
        <v>-0.021734</v>
      </c>
      <c r="B143" s="1">
        <f t="shared" si="2"/>
        <v>1.58205250436</v>
      </c>
    </row>
    <row r="144" spans="1:2" ht="12.75">
      <c r="A144" s="1">
        <v>-0.022639</v>
      </c>
      <c r="B144" s="1">
        <f t="shared" si="2"/>
        <v>1.6507895530599999</v>
      </c>
    </row>
    <row r="145" spans="1:2" ht="12.75">
      <c r="A145" s="1">
        <v>-0.021993</v>
      </c>
      <c r="B145" s="1">
        <f t="shared" si="2"/>
        <v>1.60172421222</v>
      </c>
    </row>
    <row r="146" spans="1:2" ht="12.75">
      <c r="A146" s="1">
        <v>-0.022057</v>
      </c>
      <c r="B146" s="1">
        <f t="shared" si="2"/>
        <v>1.60658517478</v>
      </c>
    </row>
    <row r="147" spans="1:2" ht="12.75">
      <c r="A147" s="1">
        <v>-0.022832</v>
      </c>
      <c r="B147" s="1">
        <f t="shared" si="2"/>
        <v>1.6654483932800002</v>
      </c>
    </row>
    <row r="148" spans="1:2" ht="12.75">
      <c r="A148" s="1">
        <v>-0.023155</v>
      </c>
      <c r="B148" s="1">
        <f t="shared" si="2"/>
        <v>1.6899810637</v>
      </c>
    </row>
    <row r="149" spans="1:2" ht="12.75">
      <c r="A149" s="1">
        <v>-0.022542</v>
      </c>
      <c r="B149" s="1">
        <f t="shared" si="2"/>
        <v>1.64342215668</v>
      </c>
    </row>
    <row r="150" spans="1:2" ht="12.75">
      <c r="A150" s="1">
        <v>-0.022509</v>
      </c>
      <c r="B150" s="1">
        <f t="shared" si="2"/>
        <v>1.64091572286</v>
      </c>
    </row>
    <row r="151" spans="1:2" ht="12.75">
      <c r="A151" s="1">
        <v>-0.023091</v>
      </c>
      <c r="B151" s="1">
        <f t="shared" si="2"/>
        <v>1.68512010114</v>
      </c>
    </row>
    <row r="152" spans="1:2" ht="12.75">
      <c r="A152" s="1">
        <v>-0.024641</v>
      </c>
      <c r="B152" s="1">
        <f t="shared" si="2"/>
        <v>1.80284653814</v>
      </c>
    </row>
    <row r="153" spans="1:2" ht="12.75">
      <c r="A153" s="1">
        <v>-0.023898</v>
      </c>
      <c r="B153" s="1">
        <f t="shared" si="2"/>
        <v>1.7464138009199999</v>
      </c>
    </row>
    <row r="154" spans="1:2" ht="12.75">
      <c r="A154" s="1">
        <v>-0.024059</v>
      </c>
      <c r="B154" s="1">
        <f t="shared" si="2"/>
        <v>1.75864215986</v>
      </c>
    </row>
    <row r="155" spans="1:2" ht="12.75">
      <c r="A155" s="1">
        <v>-0.025222</v>
      </c>
      <c r="B155" s="1">
        <f t="shared" si="2"/>
        <v>1.8469749638800002</v>
      </c>
    </row>
    <row r="156" spans="1:2" ht="12.75">
      <c r="A156" s="1">
        <v>-0.025254</v>
      </c>
      <c r="B156" s="1">
        <f t="shared" si="2"/>
        <v>1.84940544516</v>
      </c>
    </row>
    <row r="157" spans="1:2" ht="12.75">
      <c r="A157" s="1">
        <v>-0.025254</v>
      </c>
      <c r="B157" s="1">
        <f t="shared" si="2"/>
        <v>1.84940544516</v>
      </c>
    </row>
    <row r="158" spans="1:2" ht="12.75">
      <c r="A158" s="1">
        <v>-0.025803</v>
      </c>
      <c r="B158" s="1">
        <f t="shared" si="2"/>
        <v>1.89110338962</v>
      </c>
    </row>
    <row r="159" spans="1:2" ht="12.75">
      <c r="A159" s="1">
        <v>-0.026352</v>
      </c>
      <c r="B159" s="1">
        <f t="shared" si="2"/>
        <v>1.9328013340799999</v>
      </c>
    </row>
    <row r="160" spans="1:2" ht="12.75">
      <c r="A160" s="1">
        <v>-0.027192</v>
      </c>
      <c r="B160" s="1">
        <f t="shared" si="2"/>
        <v>1.99660146768</v>
      </c>
    </row>
    <row r="161" spans="1:2" ht="12.75">
      <c r="A161" s="1">
        <v>-0.026934</v>
      </c>
      <c r="B161" s="1">
        <f t="shared" si="2"/>
        <v>1.9770057123599998</v>
      </c>
    </row>
    <row r="162" spans="1:2" ht="12.75">
      <c r="A162" s="1">
        <v>-0.026966</v>
      </c>
      <c r="B162" s="1">
        <f t="shared" si="2"/>
        <v>1.97943619364</v>
      </c>
    </row>
    <row r="163" spans="1:2" ht="12.75">
      <c r="A163" s="1">
        <v>-0.027935</v>
      </c>
      <c r="B163" s="1">
        <f t="shared" si="2"/>
        <v>2.0530342049</v>
      </c>
    </row>
    <row r="164" spans="1:2" ht="12.75">
      <c r="A164" s="1">
        <v>-0.027935</v>
      </c>
      <c r="B164" s="1">
        <f t="shared" si="2"/>
        <v>2.0530342049</v>
      </c>
    </row>
    <row r="165" spans="1:2" ht="12.75">
      <c r="A165" s="1">
        <v>-0.027386</v>
      </c>
      <c r="B165" s="1">
        <f t="shared" si="2"/>
        <v>2.01133626044</v>
      </c>
    </row>
    <row r="166" spans="1:2" ht="12.75">
      <c r="A166" s="1">
        <v>-0.027483</v>
      </c>
      <c r="B166" s="1">
        <f t="shared" si="2"/>
        <v>2.0187036568199996</v>
      </c>
    </row>
    <row r="167" spans="1:2" ht="12.75">
      <c r="A167" s="1">
        <v>-0.028225</v>
      </c>
      <c r="B167" s="1">
        <f t="shared" si="2"/>
        <v>2.0750604415</v>
      </c>
    </row>
    <row r="168" spans="1:2" ht="12.75">
      <c r="A168" s="1">
        <v>-0.028645</v>
      </c>
      <c r="B168" s="1">
        <f t="shared" si="2"/>
        <v>2.1069605083</v>
      </c>
    </row>
    <row r="169" spans="1:2" ht="12.75">
      <c r="A169" s="1">
        <v>-0.028387</v>
      </c>
      <c r="B169" s="1">
        <f t="shared" si="2"/>
        <v>2.0873647529799997</v>
      </c>
    </row>
    <row r="170" spans="1:2" ht="12.75">
      <c r="A170" s="1">
        <v>-0.028258</v>
      </c>
      <c r="B170" s="1">
        <f t="shared" si="2"/>
        <v>2.0775668753199996</v>
      </c>
    </row>
    <row r="171" spans="1:2" ht="12.75">
      <c r="A171" s="1">
        <v>-0.02955</v>
      </c>
      <c r="B171" s="1">
        <f t="shared" si="2"/>
        <v>2.175697557</v>
      </c>
    </row>
    <row r="172" spans="1:2" ht="12.75">
      <c r="A172" s="1">
        <v>-0.029356</v>
      </c>
      <c r="B172" s="1">
        <f t="shared" si="2"/>
        <v>2.16096276424</v>
      </c>
    </row>
    <row r="173" spans="1:2" ht="12.75">
      <c r="A173" s="1">
        <v>-0.030163</v>
      </c>
      <c r="B173" s="1">
        <f t="shared" si="2"/>
        <v>2.2222564640199995</v>
      </c>
    </row>
    <row r="174" spans="1:2" ht="12.75">
      <c r="A174" s="1">
        <v>-0.029614</v>
      </c>
      <c r="B174" s="1">
        <f t="shared" si="2"/>
        <v>2.18055851956</v>
      </c>
    </row>
    <row r="175" spans="1:2" ht="12.75">
      <c r="A175" s="1">
        <v>-0.030486</v>
      </c>
      <c r="B175" s="1">
        <f t="shared" si="2"/>
        <v>2.2467891344399997</v>
      </c>
    </row>
    <row r="176" spans="1:2" ht="12.75">
      <c r="A176" s="1">
        <v>-0.030712</v>
      </c>
      <c r="B176" s="1">
        <f t="shared" si="2"/>
        <v>2.2639544084799996</v>
      </c>
    </row>
    <row r="177" spans="1:2" ht="12.75">
      <c r="A177" s="1">
        <v>-0.030357</v>
      </c>
      <c r="B177" s="1">
        <f t="shared" si="2"/>
        <v>2.2369912567799997</v>
      </c>
    </row>
    <row r="178" spans="1:2" ht="12.75">
      <c r="A178" s="1">
        <v>-0.030583</v>
      </c>
      <c r="B178" s="1">
        <f t="shared" si="2"/>
        <v>2.2541565308199996</v>
      </c>
    </row>
    <row r="179" spans="1:2" ht="12.75">
      <c r="A179" s="1">
        <v>-0.031584</v>
      </c>
      <c r="B179" s="1">
        <f t="shared" si="2"/>
        <v>2.33018502336</v>
      </c>
    </row>
    <row r="180" spans="1:2" ht="12.75">
      <c r="A180" s="1">
        <v>-0.031746</v>
      </c>
      <c r="B180" s="1">
        <f t="shared" si="2"/>
        <v>2.34248933484</v>
      </c>
    </row>
    <row r="181" spans="1:2" ht="12.75">
      <c r="A181" s="1">
        <v>-0.03265</v>
      </c>
      <c r="B181" s="1">
        <f t="shared" si="2"/>
        <v>2.411150431</v>
      </c>
    </row>
    <row r="182" spans="1:2" ht="12.75">
      <c r="A182" s="1">
        <v>-0.031649</v>
      </c>
      <c r="B182" s="1">
        <f t="shared" si="2"/>
        <v>2.3351219384599995</v>
      </c>
    </row>
    <row r="183" spans="1:2" ht="12.75">
      <c r="A183" s="1">
        <v>-0.032488</v>
      </c>
      <c r="B183" s="1">
        <f t="shared" si="2"/>
        <v>2.39884611952</v>
      </c>
    </row>
    <row r="184" spans="1:2" ht="12.75">
      <c r="A184" s="1">
        <v>-0.033393</v>
      </c>
      <c r="B184" s="1">
        <f t="shared" si="2"/>
        <v>2.4675831682199996</v>
      </c>
    </row>
    <row r="185" spans="1:2" ht="12.75">
      <c r="A185" s="1">
        <v>-0.032069</v>
      </c>
      <c r="B185" s="1">
        <f t="shared" si="2"/>
        <v>2.36702200526</v>
      </c>
    </row>
    <row r="186" spans="1:2" ht="12.75">
      <c r="A186" s="1">
        <v>-0.032262</v>
      </c>
      <c r="B186" s="1">
        <f t="shared" si="2"/>
        <v>2.3816808454799996</v>
      </c>
    </row>
    <row r="187" spans="1:2" ht="12.75">
      <c r="A187" s="1">
        <v>-0.034329</v>
      </c>
      <c r="B187" s="1">
        <f t="shared" si="2"/>
        <v>2.53867474566</v>
      </c>
    </row>
    <row r="188" spans="1:2" ht="12.75">
      <c r="A188" s="1">
        <v>-0.034168</v>
      </c>
      <c r="B188" s="1">
        <f t="shared" si="2"/>
        <v>2.5264463867199995</v>
      </c>
    </row>
    <row r="189" spans="1:2" ht="12.75">
      <c r="A189" s="1">
        <v>-0.033522</v>
      </c>
      <c r="B189" s="1">
        <f t="shared" si="2"/>
        <v>2.47738104588</v>
      </c>
    </row>
    <row r="190" spans="1:2" ht="12.75">
      <c r="A190" s="1">
        <v>-0.033263</v>
      </c>
      <c r="B190" s="1">
        <f t="shared" si="2"/>
        <v>2.45770933802</v>
      </c>
    </row>
    <row r="191" spans="1:2" ht="12.75">
      <c r="A191" s="1">
        <v>-0.035137</v>
      </c>
      <c r="B191" s="1">
        <f t="shared" si="2"/>
        <v>2.60004439798</v>
      </c>
    </row>
    <row r="192" spans="1:2" ht="12.75">
      <c r="A192" s="1">
        <v>-0.035233</v>
      </c>
      <c r="B192" s="1">
        <f t="shared" si="2"/>
        <v>2.60733584182</v>
      </c>
    </row>
    <row r="193" spans="1:2" ht="12.75">
      <c r="A193" s="1">
        <v>-0.034491</v>
      </c>
      <c r="B193" s="1">
        <f t="shared" si="2"/>
        <v>2.5509790571399997</v>
      </c>
    </row>
    <row r="194" spans="1:2" ht="12.75">
      <c r="A194" s="1">
        <v>-0.034523</v>
      </c>
      <c r="B194" s="1">
        <f t="shared" si="2"/>
        <v>2.5534095384199995</v>
      </c>
    </row>
    <row r="195" spans="1:2" ht="12.75">
      <c r="A195" s="1">
        <v>-0.035427</v>
      </c>
      <c r="B195" s="1">
        <f t="shared" si="2"/>
        <v>2.6220706345799996</v>
      </c>
    </row>
    <row r="196" spans="1:2" ht="12.75">
      <c r="A196" s="1">
        <v>-0.036041</v>
      </c>
      <c r="B196" s="1">
        <f t="shared" si="2"/>
        <v>2.6687054941399997</v>
      </c>
    </row>
    <row r="197" spans="1:2" ht="12.75">
      <c r="A197" s="1">
        <v>-0.035395</v>
      </c>
      <c r="B197" s="1">
        <f t="shared" si="2"/>
        <v>2.6196401532999998</v>
      </c>
    </row>
    <row r="198" spans="1:2" ht="12.75">
      <c r="A198" s="1">
        <v>-0.035847</v>
      </c>
      <c r="B198" s="1">
        <f t="shared" si="2"/>
        <v>2.6539707013799996</v>
      </c>
    </row>
    <row r="199" spans="1:2" ht="12.75">
      <c r="A199" s="1">
        <v>-0.037171</v>
      </c>
      <c r="B199" s="1">
        <f t="shared" si="2"/>
        <v>2.75453186434</v>
      </c>
    </row>
    <row r="200" spans="1:2" ht="12.75">
      <c r="A200" s="1">
        <v>-0.03688</v>
      </c>
      <c r="B200" s="1">
        <f t="shared" si="2"/>
        <v>2.7324296752</v>
      </c>
    </row>
    <row r="201" spans="1:2" ht="12.75">
      <c r="A201" s="1">
        <v>-0.03688</v>
      </c>
      <c r="B201" s="1">
        <f t="shared" si="2"/>
        <v>2.7324296752</v>
      </c>
    </row>
    <row r="202" spans="1:2" ht="12.75">
      <c r="A202" s="1">
        <v>-0.036364</v>
      </c>
      <c r="B202" s="1">
        <f t="shared" si="2"/>
        <v>2.69323816456</v>
      </c>
    </row>
    <row r="203" spans="1:2" ht="12.75">
      <c r="A203" s="1">
        <v>-0.036719</v>
      </c>
      <c r="B203" s="1">
        <f aca="true" t="shared" si="3" ref="B203:B266">((ABS(A203))*75.95254)-0.0687</f>
        <v>2.72020131626</v>
      </c>
    </row>
    <row r="204" spans="1:2" ht="12.75">
      <c r="A204" s="1">
        <v>-0.037656</v>
      </c>
      <c r="B204" s="1">
        <f t="shared" si="3"/>
        <v>2.7913688462399997</v>
      </c>
    </row>
    <row r="205" spans="1:2" ht="12.75">
      <c r="A205" s="1">
        <v>-0.036848</v>
      </c>
      <c r="B205" s="1">
        <f t="shared" si="3"/>
        <v>2.7299991939199995</v>
      </c>
    </row>
    <row r="206" spans="1:2" ht="12.75">
      <c r="A206" s="1">
        <v>-0.037074</v>
      </c>
      <c r="B206" s="1">
        <f t="shared" si="3"/>
        <v>2.74716446796</v>
      </c>
    </row>
    <row r="207" spans="1:2" ht="12.75">
      <c r="A207" s="1">
        <v>-0.039076</v>
      </c>
      <c r="B207" s="1">
        <f t="shared" si="3"/>
        <v>2.8992214530399996</v>
      </c>
    </row>
    <row r="208" spans="1:2" ht="12.75">
      <c r="A208" s="1">
        <v>-0.038398</v>
      </c>
      <c r="B208" s="1">
        <f t="shared" si="3"/>
        <v>2.84772563092</v>
      </c>
    </row>
    <row r="209" spans="1:2" ht="12.75">
      <c r="A209" s="1">
        <v>-0.037752</v>
      </c>
      <c r="B209" s="1">
        <f t="shared" si="3"/>
        <v>2.79866029008</v>
      </c>
    </row>
    <row r="210" spans="1:2" ht="12.75">
      <c r="A210" s="1">
        <v>-0.038108</v>
      </c>
      <c r="B210" s="1">
        <f t="shared" si="3"/>
        <v>2.82569939432</v>
      </c>
    </row>
    <row r="211" spans="1:2" ht="12.75">
      <c r="A211" s="1">
        <v>-0.038818</v>
      </c>
      <c r="B211" s="1">
        <f t="shared" si="3"/>
        <v>2.8796256977199994</v>
      </c>
    </row>
    <row r="212" spans="1:2" ht="12.75">
      <c r="A212" s="1">
        <v>-0.037559</v>
      </c>
      <c r="B212" s="1">
        <f t="shared" si="3"/>
        <v>2.78400144986</v>
      </c>
    </row>
    <row r="213" spans="1:2" ht="12.75">
      <c r="A213" s="1">
        <v>-0.037074</v>
      </c>
      <c r="B213" s="1">
        <f t="shared" si="3"/>
        <v>2.74716446796</v>
      </c>
    </row>
    <row r="214" spans="1:2" ht="12.75">
      <c r="A214" s="1">
        <v>-0.035912</v>
      </c>
      <c r="B214" s="1">
        <f t="shared" si="3"/>
        <v>2.6589076164799996</v>
      </c>
    </row>
    <row r="215" spans="1:2" ht="12.75">
      <c r="A215" s="1">
        <v>-0.037494</v>
      </c>
      <c r="B215" s="1">
        <f t="shared" si="3"/>
        <v>2.77906453476</v>
      </c>
    </row>
    <row r="216" spans="1:2" ht="12.75">
      <c r="A216" s="1">
        <v>-0.036977</v>
      </c>
      <c r="B216" s="1">
        <f t="shared" si="3"/>
        <v>2.73979707158</v>
      </c>
    </row>
    <row r="217" spans="1:2" ht="12.75">
      <c r="A217" s="1">
        <v>-0.036041</v>
      </c>
      <c r="B217" s="1">
        <f t="shared" si="3"/>
        <v>2.6687054941399997</v>
      </c>
    </row>
    <row r="218" spans="1:2" ht="12.75">
      <c r="A218" s="1">
        <v>-0.035298</v>
      </c>
      <c r="B218" s="1">
        <f t="shared" si="3"/>
        <v>2.61227275692</v>
      </c>
    </row>
    <row r="219" spans="1:2" ht="12.75">
      <c r="A219" s="1">
        <v>-0.035459</v>
      </c>
      <c r="B219" s="1">
        <f t="shared" si="3"/>
        <v>2.62450111586</v>
      </c>
    </row>
    <row r="220" spans="1:2" ht="12.75">
      <c r="A220" s="1">
        <v>-0.035621</v>
      </c>
      <c r="B220" s="1">
        <f t="shared" si="3"/>
        <v>2.6368054273399997</v>
      </c>
    </row>
    <row r="221" spans="1:2" ht="12.75">
      <c r="A221" s="1">
        <v>-0.034135</v>
      </c>
      <c r="B221" s="1">
        <f t="shared" si="3"/>
        <v>2.5239399528999997</v>
      </c>
    </row>
    <row r="222" spans="1:2" ht="12.75">
      <c r="A222" s="1">
        <v>-0.033748</v>
      </c>
      <c r="B222" s="1">
        <f t="shared" si="3"/>
        <v>2.49454631992</v>
      </c>
    </row>
    <row r="223" spans="1:2" ht="12.75">
      <c r="A223" s="1">
        <v>-0.034846</v>
      </c>
      <c r="B223" s="1">
        <f t="shared" si="3"/>
        <v>2.5779422088399997</v>
      </c>
    </row>
    <row r="224" spans="1:2" ht="12.75">
      <c r="A224" s="1">
        <v>-0.032747</v>
      </c>
      <c r="B224" s="1">
        <f t="shared" si="3"/>
        <v>2.4185178273799997</v>
      </c>
    </row>
    <row r="225" spans="1:2" ht="12.75">
      <c r="A225" s="1">
        <v>-0.031552</v>
      </c>
      <c r="B225" s="1">
        <f t="shared" si="3"/>
        <v>2.3277545420799997</v>
      </c>
    </row>
    <row r="226" spans="1:2" ht="12.75">
      <c r="A226" s="1">
        <v>-0.030971</v>
      </c>
      <c r="B226" s="1">
        <f t="shared" si="3"/>
        <v>2.28362611634</v>
      </c>
    </row>
    <row r="227" spans="1:2" ht="12.75">
      <c r="A227" s="1">
        <v>-0.031261</v>
      </c>
      <c r="B227" s="1">
        <f t="shared" si="3"/>
        <v>2.3056523529399997</v>
      </c>
    </row>
    <row r="228" spans="1:2" ht="12.75">
      <c r="A228" s="1">
        <v>-0.030874</v>
      </c>
      <c r="B228" s="1">
        <f t="shared" si="3"/>
        <v>2.2762587199599995</v>
      </c>
    </row>
    <row r="229" spans="1:2" ht="12.75">
      <c r="A229" s="1">
        <v>-0.029001</v>
      </c>
      <c r="B229" s="1">
        <f t="shared" si="3"/>
        <v>2.13399961254</v>
      </c>
    </row>
    <row r="230" spans="1:2" ht="12.75">
      <c r="A230" s="1">
        <v>-0.028258</v>
      </c>
      <c r="B230" s="1">
        <f t="shared" si="3"/>
        <v>2.0775668753199996</v>
      </c>
    </row>
    <row r="231" spans="1:2" ht="12.75">
      <c r="A231" s="1">
        <v>-0.028225</v>
      </c>
      <c r="B231" s="1">
        <f t="shared" si="3"/>
        <v>2.0750604415</v>
      </c>
    </row>
    <row r="232" spans="1:2" ht="12.75">
      <c r="A232" s="1">
        <v>-0.027127</v>
      </c>
      <c r="B232" s="1">
        <f t="shared" si="3"/>
        <v>1.9916645525799999</v>
      </c>
    </row>
    <row r="233" spans="1:2" ht="12.75">
      <c r="A233" s="1">
        <v>-0.025933</v>
      </c>
      <c r="B233" s="1">
        <f t="shared" si="3"/>
        <v>1.9009772198200001</v>
      </c>
    </row>
    <row r="234" spans="1:2" ht="12.75">
      <c r="A234" s="1">
        <v>-0.024835</v>
      </c>
      <c r="B234" s="1">
        <f t="shared" si="3"/>
        <v>1.8175813309</v>
      </c>
    </row>
    <row r="235" spans="1:2" ht="12.75">
      <c r="A235" s="1">
        <v>-0.02477</v>
      </c>
      <c r="B235" s="1">
        <f t="shared" si="3"/>
        <v>1.8126444158000001</v>
      </c>
    </row>
    <row r="236" spans="1:2" ht="12.75">
      <c r="A236" s="1">
        <v>-0.024835</v>
      </c>
      <c r="B236" s="1">
        <f t="shared" si="3"/>
        <v>1.8175813309</v>
      </c>
    </row>
    <row r="237" spans="1:2" ht="12.75">
      <c r="A237" s="1">
        <v>-0.022897</v>
      </c>
      <c r="B237" s="1">
        <f t="shared" si="3"/>
        <v>1.67038530838</v>
      </c>
    </row>
    <row r="238" spans="1:2" ht="12.75">
      <c r="A238" s="1">
        <v>-0.021476</v>
      </c>
      <c r="B238" s="1">
        <f t="shared" si="3"/>
        <v>1.5624567490399999</v>
      </c>
    </row>
    <row r="239" spans="1:2" ht="12.75">
      <c r="A239" s="1">
        <v>-0.021379</v>
      </c>
      <c r="B239" s="1">
        <f t="shared" si="3"/>
        <v>1.5550893526599998</v>
      </c>
    </row>
    <row r="240" spans="1:2" ht="12.75">
      <c r="A240" s="1">
        <v>-0.020507</v>
      </c>
      <c r="B240" s="1">
        <f t="shared" si="3"/>
        <v>1.48885873778</v>
      </c>
    </row>
    <row r="241" spans="1:2" ht="12.75">
      <c r="A241" s="1">
        <v>-0.018957</v>
      </c>
      <c r="B241" s="1">
        <f t="shared" si="3"/>
        <v>1.37113230078</v>
      </c>
    </row>
    <row r="242" spans="1:2" ht="12.75">
      <c r="A242" s="1">
        <v>-0.017988</v>
      </c>
      <c r="B242" s="1">
        <f t="shared" si="3"/>
        <v>1.29753428952</v>
      </c>
    </row>
    <row r="243" spans="1:2" ht="12.75">
      <c r="A243" s="1">
        <v>-0.017859</v>
      </c>
      <c r="B243" s="1">
        <f t="shared" si="3"/>
        <v>1.28773641186</v>
      </c>
    </row>
    <row r="244" spans="1:2" ht="12.75">
      <c r="A244" s="1">
        <v>-0.017375</v>
      </c>
      <c r="B244" s="1">
        <f t="shared" si="3"/>
        <v>1.2509753825</v>
      </c>
    </row>
    <row r="245" spans="1:2" ht="12.75">
      <c r="A245" s="1">
        <v>-0.016115</v>
      </c>
      <c r="B245" s="1">
        <f t="shared" si="3"/>
        <v>1.1552751821</v>
      </c>
    </row>
    <row r="246" spans="1:2" ht="12.75">
      <c r="A246" s="1">
        <v>-0.015082</v>
      </c>
      <c r="B246" s="1">
        <f t="shared" si="3"/>
        <v>1.07681620828</v>
      </c>
    </row>
    <row r="247" spans="1:2" ht="12.75">
      <c r="A247" s="1">
        <v>-0.015017</v>
      </c>
      <c r="B247" s="1">
        <f t="shared" si="3"/>
        <v>1.07187929318</v>
      </c>
    </row>
    <row r="248" spans="1:2" ht="12.75">
      <c r="A248" s="1">
        <v>-0.01421</v>
      </c>
      <c r="B248" s="1">
        <f t="shared" si="3"/>
        <v>1.0105855934</v>
      </c>
    </row>
    <row r="249" spans="1:2" ht="12.75">
      <c r="A249" s="1">
        <v>-0.01211</v>
      </c>
      <c r="B249" s="1">
        <f t="shared" si="3"/>
        <v>0.8510852593999999</v>
      </c>
    </row>
    <row r="250" spans="1:2" ht="12.75">
      <c r="A250" s="1">
        <v>-0.010496</v>
      </c>
      <c r="B250" s="1">
        <f t="shared" si="3"/>
        <v>0.72849785984</v>
      </c>
    </row>
    <row r="251" spans="1:2" ht="12.75">
      <c r="A251" s="1">
        <v>-0.0098499</v>
      </c>
      <c r="B251" s="1">
        <f t="shared" si="3"/>
        <v>0.679424923746</v>
      </c>
    </row>
    <row r="252" spans="1:2" ht="12.75">
      <c r="A252" s="1">
        <v>-0.0086873</v>
      </c>
      <c r="B252" s="1">
        <f t="shared" si="3"/>
        <v>0.591122500742</v>
      </c>
    </row>
    <row r="253" spans="1:2" ht="12.75">
      <c r="A253" s="1">
        <v>-0.0068142</v>
      </c>
      <c r="B253" s="1">
        <f t="shared" si="3"/>
        <v>0.448855798068</v>
      </c>
    </row>
    <row r="254" spans="1:2" ht="12.75">
      <c r="A254" s="1">
        <v>-0.0059099</v>
      </c>
      <c r="B254" s="1">
        <f t="shared" si="3"/>
        <v>0.380171916146</v>
      </c>
    </row>
    <row r="255" spans="1:2" ht="12.75">
      <c r="A255" s="1">
        <v>-0.0062329</v>
      </c>
      <c r="B255" s="1">
        <f t="shared" si="3"/>
        <v>0.40470458656600006</v>
      </c>
    </row>
    <row r="256" spans="1:2" ht="12.75">
      <c r="A256" s="1">
        <v>-0.0058776</v>
      </c>
      <c r="B256" s="1">
        <f t="shared" si="3"/>
        <v>0.37771864910400005</v>
      </c>
    </row>
    <row r="257" spans="1:2" ht="12.75">
      <c r="A257" s="1">
        <v>-0.0045858</v>
      </c>
      <c r="B257" s="1">
        <f t="shared" si="3"/>
        <v>0.279603157932</v>
      </c>
    </row>
    <row r="258" spans="1:2" ht="12.75">
      <c r="A258" s="1">
        <v>-0.0039076</v>
      </c>
      <c r="B258" s="1">
        <f t="shared" si="3"/>
        <v>0.22809214530400002</v>
      </c>
    </row>
    <row r="259" spans="1:2" ht="12.75">
      <c r="A259" s="1">
        <v>-0.004166</v>
      </c>
      <c r="B259" s="1">
        <f t="shared" si="3"/>
        <v>0.24771828164000004</v>
      </c>
    </row>
    <row r="260" spans="1:2" ht="12.75">
      <c r="A260" s="1">
        <v>-0.0040368</v>
      </c>
      <c r="B260" s="1">
        <f t="shared" si="3"/>
        <v>0.237905213472</v>
      </c>
    </row>
    <row r="261" spans="1:3" ht="12.75">
      <c r="A261" s="1">
        <v>-0.0030034</v>
      </c>
      <c r="B261" s="1">
        <f t="shared" si="3"/>
        <v>0.159415858636</v>
      </c>
      <c r="C261" t="s">
        <v>160</v>
      </c>
    </row>
    <row r="262" spans="1:2" ht="12.75">
      <c r="A262" s="1">
        <v>-0.0025513</v>
      </c>
      <c r="B262" s="1">
        <f t="shared" si="3"/>
        <v>0.12507771530200001</v>
      </c>
    </row>
    <row r="263" spans="1:2" ht="12.75">
      <c r="A263" s="1">
        <v>-0.0030034</v>
      </c>
      <c r="B263" s="1">
        <f t="shared" si="3"/>
        <v>0.159415858636</v>
      </c>
    </row>
    <row r="264" spans="1:2" ht="12.75">
      <c r="A264" s="1">
        <v>-0.0030357</v>
      </c>
      <c r="B264" s="1">
        <f t="shared" si="3"/>
        <v>0.161869125678</v>
      </c>
    </row>
    <row r="265" spans="1:2" ht="12.75">
      <c r="A265" s="1">
        <v>-0.0020992</v>
      </c>
      <c r="B265" s="1">
        <f t="shared" si="3"/>
        <v>0.09073957196799999</v>
      </c>
    </row>
    <row r="266" spans="1:2" ht="12.75">
      <c r="A266" s="1">
        <v>-0.0016793</v>
      </c>
      <c r="B266" s="1">
        <f t="shared" si="3"/>
        <v>0.05884710042200002</v>
      </c>
    </row>
    <row r="267" spans="1:2" ht="12.75">
      <c r="A267" s="1">
        <v>-0.0022606</v>
      </c>
      <c r="B267" s="1">
        <f aca="true" t="shared" si="4" ref="B267:B307">((ABS(A267))*75.95254)-0.0687</f>
        <v>0.10299831192400001</v>
      </c>
    </row>
    <row r="268" spans="1:2" ht="12.75">
      <c r="A268" s="1">
        <v>-0.0022929</v>
      </c>
      <c r="B268" s="1">
        <f t="shared" si="4"/>
        <v>0.105451578966</v>
      </c>
    </row>
    <row r="269" spans="1:2" ht="12.75">
      <c r="A269" s="1">
        <v>-0.0013241</v>
      </c>
      <c r="B269" s="1">
        <f t="shared" si="4"/>
        <v>0.031868758213999995</v>
      </c>
    </row>
    <row r="270" spans="1:2" ht="12.75">
      <c r="A270" s="1">
        <v>-0.0010334</v>
      </c>
      <c r="B270" s="1">
        <f t="shared" si="4"/>
        <v>0.009789354836000005</v>
      </c>
    </row>
    <row r="271" spans="1:2" ht="12.75">
      <c r="A271" s="1">
        <v>-0.0015178</v>
      </c>
      <c r="B271" s="1">
        <f t="shared" si="4"/>
        <v>0.046580765212</v>
      </c>
    </row>
    <row r="272" spans="1:2" ht="12.75">
      <c r="A272" s="1">
        <v>-0.0015178</v>
      </c>
      <c r="B272" s="1">
        <f t="shared" si="4"/>
        <v>0.046580765212</v>
      </c>
    </row>
    <row r="273" spans="1:2" ht="12.75">
      <c r="A273" s="1">
        <v>-0.00071048</v>
      </c>
      <c r="B273" s="1">
        <f t="shared" si="4"/>
        <v>-0.014737239380800002</v>
      </c>
    </row>
    <row r="274" spans="1:2" ht="12.75">
      <c r="A274" s="1">
        <v>-0.00045212</v>
      </c>
      <c r="B274" s="1">
        <f t="shared" si="4"/>
        <v>-0.0343603376152</v>
      </c>
    </row>
    <row r="275" spans="1:2" ht="12.75">
      <c r="A275" s="1">
        <v>-0.001098</v>
      </c>
      <c r="B275" s="1">
        <f t="shared" si="4"/>
        <v>0.014695888919999997</v>
      </c>
    </row>
    <row r="276" spans="1:2" ht="12.75">
      <c r="A276" s="1">
        <v>-0.0011626</v>
      </c>
      <c r="B276" s="1">
        <f t="shared" si="4"/>
        <v>0.019602423004000002</v>
      </c>
    </row>
    <row r="277" spans="1:2" ht="12.75">
      <c r="A277" s="1">
        <v>-0.00035524</v>
      </c>
      <c r="B277" s="1">
        <f t="shared" si="4"/>
        <v>-0.0417186196904</v>
      </c>
    </row>
    <row r="278" spans="1:2" ht="12.75">
      <c r="A278" s="1">
        <v>-0.00016147</v>
      </c>
      <c r="B278" s="1">
        <f t="shared" si="4"/>
        <v>-0.056435943366199996</v>
      </c>
    </row>
    <row r="279" spans="1:2" ht="12.75">
      <c r="A279" s="1">
        <v>-0.00077507</v>
      </c>
      <c r="B279" s="1">
        <f t="shared" si="4"/>
        <v>-0.0098314648222</v>
      </c>
    </row>
    <row r="280" spans="1:2" ht="12.75">
      <c r="A280" s="1">
        <v>-0.00083966</v>
      </c>
      <c r="B280" s="1">
        <f t="shared" si="4"/>
        <v>-0.004925690263599999</v>
      </c>
    </row>
    <row r="281" spans="1:2" ht="12.75">
      <c r="A281" s="1">
        <v>-0.00016147</v>
      </c>
      <c r="B281" s="1">
        <f t="shared" si="4"/>
        <v>-0.056435943366199996</v>
      </c>
    </row>
    <row r="282" spans="1:2" ht="12.75">
      <c r="A282" s="1">
        <v>9.6884E-05</v>
      </c>
      <c r="B282" s="1">
        <f t="shared" si="4"/>
        <v>-0.061341414114639996</v>
      </c>
    </row>
    <row r="283" spans="1:2" ht="12.75">
      <c r="A283" s="1">
        <v>-0.00054901</v>
      </c>
      <c r="B283" s="1">
        <f t="shared" si="4"/>
        <v>-0.027001296014600003</v>
      </c>
    </row>
    <row r="284" spans="1:2" ht="12.75">
      <c r="A284" s="1">
        <v>-0.0006136</v>
      </c>
      <c r="B284" s="1">
        <f t="shared" si="4"/>
        <v>-0.022095521456</v>
      </c>
    </row>
    <row r="285" spans="1:2" ht="12.75">
      <c r="A285" s="1">
        <v>0.00012918</v>
      </c>
      <c r="B285" s="1">
        <f t="shared" si="4"/>
        <v>-0.058888450882799995</v>
      </c>
    </row>
    <row r="286" spans="1:2" ht="12.75">
      <c r="A286" s="1">
        <v>0.00029065</v>
      </c>
      <c r="B286" s="1">
        <f t="shared" si="4"/>
        <v>-0.046624394249</v>
      </c>
    </row>
    <row r="287" spans="1:2" ht="12.75">
      <c r="A287" s="1">
        <v>-0.00038754</v>
      </c>
      <c r="B287" s="1">
        <f t="shared" si="4"/>
        <v>-0.0392653526484</v>
      </c>
    </row>
    <row r="288" spans="1:2" ht="12.75">
      <c r="A288" s="1">
        <v>-0.00048442</v>
      </c>
      <c r="B288" s="1">
        <f t="shared" si="4"/>
        <v>-0.0319070705732</v>
      </c>
    </row>
    <row r="289" spans="1:2" ht="12.75">
      <c r="A289" s="1">
        <v>0.00029065</v>
      </c>
      <c r="B289" s="1">
        <f t="shared" si="4"/>
        <v>-0.046624394249</v>
      </c>
    </row>
    <row r="290" spans="1:2" ht="12.75">
      <c r="A290" s="1">
        <v>0.00048442</v>
      </c>
      <c r="B290" s="1">
        <f t="shared" si="4"/>
        <v>-0.0319070705732</v>
      </c>
    </row>
    <row r="291" spans="1:2" ht="12.75">
      <c r="A291" s="1">
        <v>-0.00022606</v>
      </c>
      <c r="B291" s="1">
        <f t="shared" si="4"/>
        <v>-0.0515301688076</v>
      </c>
    </row>
    <row r="292" spans="1:2" ht="12.75">
      <c r="A292" s="1">
        <v>-0.00038754</v>
      </c>
      <c r="B292" s="1">
        <f t="shared" si="4"/>
        <v>-0.0392653526484</v>
      </c>
    </row>
    <row r="293" spans="1:2" ht="12.75">
      <c r="A293" s="1">
        <v>0.00035524</v>
      </c>
      <c r="B293" s="1">
        <f t="shared" si="4"/>
        <v>-0.0417186196904</v>
      </c>
    </row>
    <row r="294" spans="1:2" ht="12.75">
      <c r="A294" s="1">
        <v>0.0006136</v>
      </c>
      <c r="B294" s="1">
        <f t="shared" si="4"/>
        <v>-0.022095521456</v>
      </c>
    </row>
    <row r="295" spans="1:2" ht="12.75">
      <c r="A295" s="1">
        <v>-0.00022606</v>
      </c>
      <c r="B295" s="1">
        <f t="shared" si="4"/>
        <v>-0.0515301688076</v>
      </c>
    </row>
    <row r="296" spans="1:2" ht="12.75">
      <c r="A296" s="1">
        <v>-0.00032295</v>
      </c>
      <c r="B296" s="1">
        <f t="shared" si="4"/>
        <v>-0.04417112720699999</v>
      </c>
    </row>
    <row r="297" spans="1:2" ht="12.75">
      <c r="A297" s="1">
        <v>0.00045212</v>
      </c>
      <c r="B297" s="1">
        <f t="shared" si="4"/>
        <v>-0.0343603376152</v>
      </c>
    </row>
    <row r="298" spans="1:2" ht="12.75">
      <c r="A298" s="1">
        <v>0.0005813</v>
      </c>
      <c r="B298" s="1">
        <f t="shared" si="4"/>
        <v>-0.024548788497999997</v>
      </c>
    </row>
    <row r="299" spans="1:2" ht="12.75">
      <c r="A299" s="1">
        <v>-0.00012918</v>
      </c>
      <c r="B299" s="1">
        <f t="shared" si="4"/>
        <v>-0.058888450882799995</v>
      </c>
    </row>
    <row r="300" spans="1:2" ht="12.75">
      <c r="A300" s="1">
        <v>-0.00025836</v>
      </c>
      <c r="B300" s="1">
        <f t="shared" si="4"/>
        <v>-0.04907690176559999</v>
      </c>
    </row>
    <row r="301" spans="1:2" ht="12.75">
      <c r="A301" s="1">
        <v>0.00045212</v>
      </c>
      <c r="B301" s="1">
        <f t="shared" si="4"/>
        <v>-0.0343603376152</v>
      </c>
    </row>
    <row r="302" spans="1:2" ht="12.75">
      <c r="A302" s="1">
        <v>0.0006136</v>
      </c>
      <c r="B302" s="1">
        <f t="shared" si="4"/>
        <v>-0.022095521456</v>
      </c>
    </row>
    <row r="303" spans="1:2" ht="12.75">
      <c r="A303" s="1">
        <v>-6.4589E-05</v>
      </c>
      <c r="B303" s="1">
        <f t="shared" si="4"/>
        <v>-0.06379430139394</v>
      </c>
    </row>
    <row r="304" spans="1:2" ht="12.75">
      <c r="A304" s="1">
        <v>-0.00019377</v>
      </c>
      <c r="B304" s="1">
        <f t="shared" si="4"/>
        <v>-0.053982676324199994</v>
      </c>
    </row>
    <row r="305" spans="1:2" ht="12.75">
      <c r="A305" s="1">
        <v>0.00054901</v>
      </c>
      <c r="B305" s="1">
        <f t="shared" si="4"/>
        <v>-0.027001296014600003</v>
      </c>
    </row>
    <row r="306" spans="1:2" ht="12.75">
      <c r="A306" s="1">
        <v>0.00067819</v>
      </c>
      <c r="B306" s="1">
        <f t="shared" si="4"/>
        <v>-0.0171897468974</v>
      </c>
    </row>
    <row r="307" spans="1:2" ht="12.75">
      <c r="A307" s="1">
        <v>0</v>
      </c>
      <c r="B307" s="1">
        <f t="shared" si="4"/>
        <v>-0.0687</v>
      </c>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161</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152</v>
      </c>
      <c r="B1" s="11" t="s">
        <v>149</v>
      </c>
      <c r="D1" t="s">
        <v>127</v>
      </c>
    </row>
    <row r="2" ht="12.75">
      <c r="D2" t="s">
        <v>143</v>
      </c>
    </row>
    <row r="3" spans="1:4" ht="12.75">
      <c r="A3" s="7" t="s">
        <v>132</v>
      </c>
      <c r="B3" s="12">
        <v>1</v>
      </c>
      <c r="D3" t="s">
        <v>153</v>
      </c>
    </row>
    <row r="4" spans="1:4" ht="12.75">
      <c r="A4" s="7" t="s">
        <v>133</v>
      </c>
      <c r="B4" s="13">
        <v>1.22</v>
      </c>
      <c r="D4" t="s">
        <v>128</v>
      </c>
    </row>
    <row r="5" spans="1:8" ht="12.75">
      <c r="A5" s="7" t="s">
        <v>134</v>
      </c>
      <c r="B5" s="13">
        <v>0.375</v>
      </c>
      <c r="H5" t="s">
        <v>137</v>
      </c>
    </row>
    <row r="6" spans="1:4" ht="12.75">
      <c r="A6" s="7" t="s">
        <v>135</v>
      </c>
      <c r="B6" s="13">
        <v>3.611</v>
      </c>
      <c r="D6" s="14" t="s">
        <v>144</v>
      </c>
    </row>
    <row r="7" spans="1:14" ht="12.75">
      <c r="A7" s="7" t="s">
        <v>136</v>
      </c>
      <c r="B7" s="12">
        <v>0.304</v>
      </c>
      <c r="L7" t="s">
        <v>124</v>
      </c>
      <c r="M7" t="s">
        <v>125</v>
      </c>
      <c r="N7" t="s">
        <v>130</v>
      </c>
    </row>
    <row r="8" spans="5:17" ht="12.75">
      <c r="E8" t="s">
        <v>122</v>
      </c>
      <c r="F8" t="s">
        <v>116</v>
      </c>
      <c r="G8" t="s">
        <v>101</v>
      </c>
      <c r="H8" t="s">
        <v>109</v>
      </c>
      <c r="I8" t="s">
        <v>107</v>
      </c>
      <c r="J8" t="s">
        <v>110</v>
      </c>
      <c r="K8" t="s">
        <v>112</v>
      </c>
      <c r="L8" t="s">
        <v>110</v>
      </c>
      <c r="M8" t="s">
        <v>113</v>
      </c>
      <c r="N8" t="s">
        <v>114</v>
      </c>
      <c r="O8" t="s">
        <v>117</v>
      </c>
      <c r="P8" t="s">
        <v>120</v>
      </c>
      <c r="Q8" t="s">
        <v>21</v>
      </c>
    </row>
    <row r="9" spans="4:16" ht="12.75">
      <c r="D9" s="15" t="s">
        <v>106</v>
      </c>
      <c r="E9" t="s">
        <v>126</v>
      </c>
      <c r="G9" t="s">
        <v>6</v>
      </c>
      <c r="I9" t="s">
        <v>115</v>
      </c>
      <c r="J9" t="s">
        <v>123</v>
      </c>
      <c r="K9" t="s">
        <v>108</v>
      </c>
      <c r="L9" t="s">
        <v>111</v>
      </c>
      <c r="M9" t="s">
        <v>129</v>
      </c>
      <c r="N9" t="s">
        <v>108</v>
      </c>
      <c r="O9" t="s">
        <v>118</v>
      </c>
      <c r="P9" t="s">
        <v>121</v>
      </c>
    </row>
    <row r="10" spans="1:17" ht="12.75">
      <c r="A10" t="s">
        <v>138</v>
      </c>
      <c r="B10" s="16">
        <f>(($B$4-$B$5))/29</f>
        <v>0.02913793103448276</v>
      </c>
      <c r="C10" s="17" t="s">
        <v>140</v>
      </c>
      <c r="D10" s="15">
        <v>0</v>
      </c>
      <c r="E10" s="1">
        <f>D10*$B$10</f>
        <v>0</v>
      </c>
      <c r="F10">
        <f>B4</f>
        <v>1.22</v>
      </c>
      <c r="G10" s="1">
        <f>$B6-E10</f>
        <v>3.611</v>
      </c>
      <c r="H10" s="3">
        <f>$B5+E10</f>
        <v>0.375</v>
      </c>
      <c r="I10" s="2">
        <f>((F10-E10)*(PI())*G10)</f>
        <v>13.840035107977547</v>
      </c>
      <c r="J10" s="2">
        <f>((F10/2)^2)*PI()</f>
        <v>1.168986626400762</v>
      </c>
      <c r="K10" s="2">
        <f>((H10/2)^2)*PI()</f>
        <v>0.11044661672776616</v>
      </c>
      <c r="L10" s="2">
        <f>J10-K10</f>
        <v>1.0585400096729958</v>
      </c>
      <c r="M10" s="2">
        <f>(H10*PI())*G10</f>
        <v>4.254109152042279</v>
      </c>
      <c r="N10" s="2">
        <f>(L10*2)+I10+M10</f>
        <v>20.211224279365815</v>
      </c>
      <c r="O10" s="2">
        <f>N10*B3</f>
        <v>20.211224279365815</v>
      </c>
      <c r="P10" s="18">
        <f>(F10-H10)/2</f>
        <v>0.4225</v>
      </c>
      <c r="Q10" s="2">
        <f>O10/B12</f>
        <v>278.45535405124656</v>
      </c>
    </row>
    <row r="11" spans="1:17" ht="12.75">
      <c r="A11" t="s">
        <v>102</v>
      </c>
      <c r="B11" s="1">
        <f>$O$10</f>
        <v>20.211224279365815</v>
      </c>
      <c r="C11" s="17" t="s">
        <v>141</v>
      </c>
      <c r="D11" s="15">
        <v>1</v>
      </c>
      <c r="E11" s="1">
        <f>D11*B10</f>
        <v>0.02913793103448276</v>
      </c>
      <c r="F11">
        <f>B4</f>
        <v>1.22</v>
      </c>
      <c r="G11" s="1">
        <f>$B6-E11</f>
        <v>3.5818620689655174</v>
      </c>
      <c r="H11" s="3">
        <f>$B5+E11</f>
        <v>0.40413793103448276</v>
      </c>
      <c r="I11" s="2">
        <f aca="true" t="shared" si="0" ref="I11:I39">((F11-E11)*(PI())*G11)</f>
        <v>13.400475006718771</v>
      </c>
      <c r="J11" s="2">
        <f aca="true" t="shared" si="1" ref="J11:J38">((F11/2)^2)*PI()</f>
        <v>1.168986626400762</v>
      </c>
      <c r="K11" s="2">
        <f aca="true" t="shared" si="2" ref="K11:K38">((H11/2)^2)*PI()</f>
        <v>0.1282770928504305</v>
      </c>
      <c r="L11" s="2">
        <f aca="true" t="shared" si="3" ref="L11:L38">J11-K11</f>
        <v>1.0407095335503316</v>
      </c>
      <c r="M11" s="2">
        <f aca="true" t="shared" si="4" ref="M11:M38">(H11*PI())*G11</f>
        <v>4.547663734725467</v>
      </c>
      <c r="N11" s="2">
        <f aca="true" t="shared" si="5" ref="N11:N39">(L11*2)+I11+M11</f>
        <v>20.0295578085449</v>
      </c>
      <c r="O11" s="2">
        <f>N11*B3</f>
        <v>20.0295578085449</v>
      </c>
      <c r="P11" s="18">
        <f aca="true" t="shared" si="6" ref="P11:P39">(F11-H11)/2</f>
        <v>0.4079310344827586</v>
      </c>
      <c r="Q11" s="2">
        <f>O11/B12</f>
        <v>275.95248729006164</v>
      </c>
    </row>
    <row r="12" spans="1:17" ht="12.75">
      <c r="A12" t="s">
        <v>105</v>
      </c>
      <c r="B12" s="1">
        <f>((B7/2)^2)*PI()</f>
        <v>0.07258335666853857</v>
      </c>
      <c r="C12" s="14" t="s">
        <v>142</v>
      </c>
      <c r="D12" s="15">
        <v>2</v>
      </c>
      <c r="E12" s="1">
        <f>D12*B10</f>
        <v>0.05827586206896552</v>
      </c>
      <c r="F12">
        <f>B4</f>
        <v>1.22</v>
      </c>
      <c r="G12" s="1">
        <f>$B6-E12</f>
        <v>3.5527241379310346</v>
      </c>
      <c r="H12" s="3">
        <f>$B5+E12</f>
        <v>0.4332758620689655</v>
      </c>
      <c r="I12" s="2">
        <f t="shared" si="0"/>
        <v>12.966249449323206</v>
      </c>
      <c r="J12" s="2">
        <f t="shared" si="1"/>
        <v>1.168986626400762</v>
      </c>
      <c r="K12" s="2">
        <f t="shared" si="2"/>
        <v>0.14744120493889715</v>
      </c>
      <c r="L12" s="2">
        <f t="shared" si="3"/>
        <v>1.0215454214618649</v>
      </c>
      <c r="M12" s="2">
        <f t="shared" si="4"/>
        <v>4.835883773545446</v>
      </c>
      <c r="N12" s="2">
        <f t="shared" si="5"/>
        <v>19.845224065792383</v>
      </c>
      <c r="O12" s="2">
        <f>N12*B3</f>
        <v>19.845224065792383</v>
      </c>
      <c r="P12" s="18">
        <f t="shared" si="6"/>
        <v>0.39336206896551723</v>
      </c>
      <c r="Q12" s="2">
        <f>O12/B12</f>
        <v>273.41287282177103</v>
      </c>
    </row>
    <row r="13" spans="1:17" ht="12.75">
      <c r="A13" t="s">
        <v>147</v>
      </c>
      <c r="B13" s="1">
        <f>((B5/2)^2)*PI()</f>
        <v>0.11044661672776616</v>
      </c>
      <c r="D13" s="15">
        <v>3</v>
      </c>
      <c r="E13" s="1">
        <f>D13*B10</f>
        <v>0.08741379310344828</v>
      </c>
      <c r="F13">
        <f>B4</f>
        <v>1.22</v>
      </c>
      <c r="G13" s="1">
        <f>$B6-E13</f>
        <v>3.5235862068965518</v>
      </c>
      <c r="H13" s="3">
        <f>$B5+E13</f>
        <v>0.46241379310344827</v>
      </c>
      <c r="I13" s="2">
        <f t="shared" si="0"/>
        <v>12.537358435790852</v>
      </c>
      <c r="J13" s="2">
        <f t="shared" si="1"/>
        <v>1.168986626400762</v>
      </c>
      <c r="K13" s="2">
        <f t="shared" si="2"/>
        <v>0.16793895299316608</v>
      </c>
      <c r="L13" s="2">
        <f t="shared" si="3"/>
        <v>1.001047673407596</v>
      </c>
      <c r="M13" s="2">
        <f t="shared" si="4"/>
        <v>5.118769268502217</v>
      </c>
      <c r="N13" s="2">
        <f t="shared" si="5"/>
        <v>19.658223051108262</v>
      </c>
      <c r="O13" s="2">
        <f>N13*B3</f>
        <v>19.658223051108262</v>
      </c>
      <c r="P13" s="18">
        <f t="shared" si="6"/>
        <v>0.3787931034482759</v>
      </c>
      <c r="Q13" s="2">
        <f>O13/B12</f>
        <v>270.83651064637473</v>
      </c>
    </row>
    <row r="14" spans="1:17" ht="12.75">
      <c r="A14" t="s">
        <v>148</v>
      </c>
      <c r="B14">
        <f>B13/B12</f>
        <v>1.5216520948753465</v>
      </c>
      <c r="D14" s="15">
        <v>4</v>
      </c>
      <c r="E14" s="1">
        <f>D14*B10</f>
        <v>0.11655172413793104</v>
      </c>
      <c r="F14">
        <f>B4</f>
        <v>1.22</v>
      </c>
      <c r="G14" s="1">
        <f>$B6-E14</f>
        <v>3.494448275862069</v>
      </c>
      <c r="H14" s="3">
        <f>$B5+E14</f>
        <v>0.491551724137931</v>
      </c>
      <c r="I14" s="2">
        <f t="shared" si="0"/>
        <v>12.113801966121706</v>
      </c>
      <c r="J14" s="2">
        <f t="shared" si="1"/>
        <v>1.168986626400762</v>
      </c>
      <c r="K14" s="2">
        <f t="shared" si="2"/>
        <v>0.18977033701323728</v>
      </c>
      <c r="L14" s="2">
        <f t="shared" si="3"/>
        <v>0.9792162893875247</v>
      </c>
      <c r="M14" s="2">
        <f t="shared" si="4"/>
        <v>5.396320219595778</v>
      </c>
      <c r="N14" s="2">
        <f t="shared" si="5"/>
        <v>19.468554764492534</v>
      </c>
      <c r="O14" s="2">
        <f>N14*B3</f>
        <v>19.468554764492534</v>
      </c>
      <c r="P14" s="18">
        <f t="shared" si="6"/>
        <v>0.3642241379310345</v>
      </c>
      <c r="Q14" s="2">
        <f>O14/B12</f>
        <v>268.2234007638727</v>
      </c>
    </row>
    <row r="15" spans="1:17" ht="12.75">
      <c r="A15" t="s">
        <v>103</v>
      </c>
      <c r="B15" s="15">
        <f>$Q$10</f>
        <v>278.45535405124656</v>
      </c>
      <c r="D15" s="15">
        <v>5</v>
      </c>
      <c r="E15" s="1">
        <f>D15*B10</f>
        <v>0.1456896551724138</v>
      </c>
      <c r="F15">
        <f>B4</f>
        <v>1.22</v>
      </c>
      <c r="G15" s="1">
        <f>$B6-E15</f>
        <v>3.4653103448275866</v>
      </c>
      <c r="H15" s="3">
        <f>$B5+E15</f>
        <v>0.5206896551724138</v>
      </c>
      <c r="I15" s="2">
        <f t="shared" si="0"/>
        <v>11.695580040315766</v>
      </c>
      <c r="J15" s="2">
        <f t="shared" si="1"/>
        <v>1.168986626400762</v>
      </c>
      <c r="K15" s="2">
        <f t="shared" si="2"/>
        <v>0.21293535699911084</v>
      </c>
      <c r="L15" s="2">
        <f t="shared" si="3"/>
        <v>0.9560512694016512</v>
      </c>
      <c r="M15" s="2">
        <f t="shared" si="4"/>
        <v>5.668536626826131</v>
      </c>
      <c r="N15" s="2">
        <f t="shared" si="5"/>
        <v>19.2762192059452</v>
      </c>
      <c r="O15" s="2">
        <f>N15*B3</f>
        <v>19.2762192059452</v>
      </c>
      <c r="P15" s="18">
        <f t="shared" si="6"/>
        <v>0.34965517241379307</v>
      </c>
      <c r="Q15" s="2">
        <f>O15/B12</f>
        <v>265.57354317426496</v>
      </c>
    </row>
    <row r="16" spans="1:17" ht="12.75">
      <c r="A16" t="s">
        <v>104</v>
      </c>
      <c r="B16" s="15">
        <f>MAX(Q11:Q39)</f>
        <v>275.95248729006164</v>
      </c>
      <c r="D16" s="15">
        <v>6</v>
      </c>
      <c r="E16" s="1">
        <f>D16*B10</f>
        <v>0.17482758620689656</v>
      </c>
      <c r="F16">
        <f>B4</f>
        <v>1.22</v>
      </c>
      <c r="G16" s="1">
        <f>$B6-E16</f>
        <v>3.436172413793104</v>
      </c>
      <c r="H16" s="3">
        <f>$B5+E16</f>
        <v>0.5498275862068965</v>
      </c>
      <c r="I16" s="2">
        <f t="shared" si="0"/>
        <v>11.282692658373039</v>
      </c>
      <c r="J16" s="2">
        <f t="shared" si="1"/>
        <v>1.168986626400762</v>
      </c>
      <c r="K16" s="2">
        <f t="shared" si="2"/>
        <v>0.2374340129507866</v>
      </c>
      <c r="L16" s="2">
        <f t="shared" si="3"/>
        <v>0.9315526134499754</v>
      </c>
      <c r="M16" s="2">
        <f t="shared" si="4"/>
        <v>5.935418490193273</v>
      </c>
      <c r="N16" s="2">
        <f t="shared" si="5"/>
        <v>19.081216375466262</v>
      </c>
      <c r="O16" s="2">
        <f>N16*B3</f>
        <v>19.081216375466262</v>
      </c>
      <c r="P16" s="18">
        <f t="shared" si="6"/>
        <v>0.3350862068965517</v>
      </c>
      <c r="Q16" s="2">
        <f>O16/B12</f>
        <v>262.8869378775515</v>
      </c>
    </row>
    <row r="17" spans="1:17" ht="12.75">
      <c r="A17" t="s">
        <v>139</v>
      </c>
      <c r="B17" s="15">
        <f>$Q$39</f>
        <v>190.9526488919668</v>
      </c>
      <c r="D17" s="15">
        <v>7</v>
      </c>
      <c r="E17" s="1">
        <f>D17*B10</f>
        <v>0.20396551724137932</v>
      </c>
      <c r="F17">
        <f>B4</f>
        <v>1.22</v>
      </c>
      <c r="G17" s="1">
        <f>$B6-E17</f>
        <v>3.407034482758621</v>
      </c>
      <c r="H17" s="3">
        <f>$B5+E17</f>
        <v>0.5789655172413793</v>
      </c>
      <c r="I17" s="2">
        <f t="shared" si="0"/>
        <v>10.875139820293521</v>
      </c>
      <c r="J17" s="2">
        <f t="shared" si="1"/>
        <v>1.168986626400762</v>
      </c>
      <c r="K17" s="2">
        <f t="shared" si="2"/>
        <v>0.26326630486826474</v>
      </c>
      <c r="L17" s="2">
        <f t="shared" si="3"/>
        <v>0.9057203215324973</v>
      </c>
      <c r="M17" s="2">
        <f t="shared" si="4"/>
        <v>6.196965809697208</v>
      </c>
      <c r="N17" s="2">
        <f t="shared" si="5"/>
        <v>18.88354627305572</v>
      </c>
      <c r="O17" s="2">
        <f>N17*B3</f>
        <v>18.88354627305572</v>
      </c>
      <c r="P17" s="18">
        <f t="shared" si="6"/>
        <v>0.3205172413793103</v>
      </c>
      <c r="Q17" s="2">
        <f>O17/B12</f>
        <v>260.16358487373236</v>
      </c>
    </row>
    <row r="18" spans="2:17" ht="12.75">
      <c r="B18" s="1"/>
      <c r="D18" s="15">
        <v>8</v>
      </c>
      <c r="E18" s="1">
        <f>D18*B10</f>
        <v>0.23310344827586207</v>
      </c>
      <c r="F18">
        <f>B4</f>
        <v>1.22</v>
      </c>
      <c r="G18" s="1">
        <f>$B6-E18</f>
        <v>3.377896551724138</v>
      </c>
      <c r="H18" s="3">
        <f>$B5+E18</f>
        <v>0.608103448275862</v>
      </c>
      <c r="I18" s="2">
        <f t="shared" si="0"/>
        <v>10.47292152607721</v>
      </c>
      <c r="J18" s="2">
        <f t="shared" si="1"/>
        <v>1.168986626400762</v>
      </c>
      <c r="K18" s="2">
        <f t="shared" si="2"/>
        <v>0.29043223275154506</v>
      </c>
      <c r="L18" s="2">
        <f t="shared" si="3"/>
        <v>0.878554393649217</v>
      </c>
      <c r="M18" s="2">
        <f t="shared" si="4"/>
        <v>6.453178585337931</v>
      </c>
      <c r="N18" s="2">
        <f t="shared" si="5"/>
        <v>18.683208898713573</v>
      </c>
      <c r="O18" s="2">
        <f>N18*B3</f>
        <v>18.683208898713573</v>
      </c>
      <c r="P18" s="18">
        <f t="shared" si="6"/>
        <v>0.30594827586206896</v>
      </c>
      <c r="Q18" s="2">
        <f>O18/B12</f>
        <v>257.40348416280744</v>
      </c>
    </row>
    <row r="19" spans="1:17" ht="12.75">
      <c r="A19" t="s">
        <v>131</v>
      </c>
      <c r="B19" s="1">
        <f>((B4*3)+B5)/2</f>
        <v>2.0175</v>
      </c>
      <c r="C19" s="17" t="s">
        <v>146</v>
      </c>
      <c r="D19" s="15">
        <v>9</v>
      </c>
      <c r="E19" s="1">
        <f>D19*B10</f>
        <v>0.26224137931034486</v>
      </c>
      <c r="F19">
        <f>B4</f>
        <v>1.22</v>
      </c>
      <c r="G19" s="1">
        <f>$B6-E19</f>
        <v>3.3487586206896554</v>
      </c>
      <c r="H19" s="3">
        <f>$B5+E19</f>
        <v>0.6372413793103449</v>
      </c>
      <c r="I19" s="2">
        <f t="shared" si="0"/>
        <v>10.076037775724108</v>
      </c>
      <c r="J19" s="2">
        <f t="shared" si="1"/>
        <v>1.168986626400762</v>
      </c>
      <c r="K19" s="2">
        <f t="shared" si="2"/>
        <v>0.31893179660062776</v>
      </c>
      <c r="L19" s="2">
        <f t="shared" si="3"/>
        <v>0.8500548298001342</v>
      </c>
      <c r="M19" s="2">
        <f t="shared" si="4"/>
        <v>6.704056817115446</v>
      </c>
      <c r="N19" s="2">
        <f t="shared" si="5"/>
        <v>18.480204252439822</v>
      </c>
      <c r="O19" s="2">
        <f>N19*B3</f>
        <v>18.480204252439822</v>
      </c>
      <c r="P19" s="18">
        <f t="shared" si="6"/>
        <v>0.29137931034482756</v>
      </c>
      <c r="Q19" s="2">
        <f>O19/B12</f>
        <v>254.60663574477687</v>
      </c>
    </row>
    <row r="20" spans="4:17" ht="12.75">
      <c r="D20" s="15">
        <v>10</v>
      </c>
      <c r="E20" s="1">
        <f>D20*B10</f>
        <v>0.2913793103448276</v>
      </c>
      <c r="F20">
        <f>B4</f>
        <v>1.22</v>
      </c>
      <c r="G20" s="1">
        <f>$B6-E20</f>
        <v>3.3196206896551725</v>
      </c>
      <c r="H20" s="3">
        <f>$B5+E20</f>
        <v>0.6663793103448277</v>
      </c>
      <c r="I20" s="2">
        <f t="shared" si="0"/>
        <v>9.684488569234215</v>
      </c>
      <c r="J20" s="2">
        <f t="shared" si="1"/>
        <v>1.168986626400762</v>
      </c>
      <c r="K20" s="2">
        <f t="shared" si="2"/>
        <v>0.3487649964155128</v>
      </c>
      <c r="L20" s="2">
        <f t="shared" si="3"/>
        <v>0.8202216299852492</v>
      </c>
      <c r="M20" s="2">
        <f t="shared" si="4"/>
        <v>6.949600505029753</v>
      </c>
      <c r="N20" s="2">
        <f t="shared" si="5"/>
        <v>18.274532334234465</v>
      </c>
      <c r="O20" s="2">
        <f>N20*B3</f>
        <v>18.274532334234465</v>
      </c>
      <c r="P20" s="18">
        <f t="shared" si="6"/>
        <v>0.27681034482758615</v>
      </c>
      <c r="Q20" s="2">
        <f>O20/B12</f>
        <v>251.77303961964057</v>
      </c>
    </row>
    <row r="21" spans="4:17" ht="12.75">
      <c r="D21" s="15">
        <v>11</v>
      </c>
      <c r="E21" s="1">
        <f>D21*B10</f>
        <v>0.32051724137931037</v>
      </c>
      <c r="F21">
        <f>B4</f>
        <v>1.22</v>
      </c>
      <c r="G21" s="1">
        <f>$B6-E21</f>
        <v>3.2904827586206897</v>
      </c>
      <c r="H21" s="3">
        <f>$B5+E21</f>
        <v>0.6955172413793104</v>
      </c>
      <c r="I21" s="2">
        <f t="shared" si="0"/>
        <v>9.298273906607534</v>
      </c>
      <c r="J21" s="2">
        <f t="shared" si="1"/>
        <v>1.168986626400762</v>
      </c>
      <c r="K21" s="2">
        <f t="shared" si="2"/>
        <v>0.37993183219619997</v>
      </c>
      <c r="L21" s="2">
        <f t="shared" si="3"/>
        <v>0.789054794204562</v>
      </c>
      <c r="M21" s="2">
        <f t="shared" si="4"/>
        <v>7.189809649080849</v>
      </c>
      <c r="N21" s="2">
        <f t="shared" si="5"/>
        <v>18.066193144097507</v>
      </c>
      <c r="O21" s="2">
        <f>N21*B3</f>
        <v>18.066193144097507</v>
      </c>
      <c r="P21" s="18">
        <f t="shared" si="6"/>
        <v>0.2622413793103448</v>
      </c>
      <c r="Q21" s="2">
        <f>O21/B12</f>
        <v>248.9026957873986</v>
      </c>
    </row>
    <row r="22" spans="4:17" ht="12.75">
      <c r="D22" s="15">
        <v>12</v>
      </c>
      <c r="E22" s="1">
        <f>D22*B10</f>
        <v>0.3496551724137931</v>
      </c>
      <c r="F22">
        <f>B4</f>
        <v>1.22</v>
      </c>
      <c r="G22" s="1">
        <f>$B6-E22</f>
        <v>3.261344827586207</v>
      </c>
      <c r="H22" s="3">
        <f>$B5+E22</f>
        <v>0.7246551724137931</v>
      </c>
      <c r="I22" s="2">
        <f t="shared" si="0"/>
        <v>8.91739378784406</v>
      </c>
      <c r="J22" s="2">
        <f t="shared" si="1"/>
        <v>1.168986626400762</v>
      </c>
      <c r="K22" s="2">
        <f t="shared" si="2"/>
        <v>0.4124323039426894</v>
      </c>
      <c r="L22" s="2">
        <f t="shared" si="3"/>
        <v>0.7565543224580726</v>
      </c>
      <c r="M22" s="2">
        <f t="shared" si="4"/>
        <v>7.424684249268736</v>
      </c>
      <c r="N22" s="2">
        <f t="shared" si="5"/>
        <v>17.855186682028943</v>
      </c>
      <c r="O22" s="2">
        <f>N22*B3</f>
        <v>17.855186682028943</v>
      </c>
      <c r="P22" s="18">
        <f t="shared" si="6"/>
        <v>0.24767241379310345</v>
      </c>
      <c r="Q22" s="2">
        <f>O22/B12</f>
        <v>245.99560424805094</v>
      </c>
    </row>
    <row r="23" spans="4:17" ht="12.75">
      <c r="D23" s="15">
        <v>13</v>
      </c>
      <c r="E23" s="1">
        <f>D23*B10</f>
        <v>0.3787931034482759</v>
      </c>
      <c r="F23">
        <f>B4</f>
        <v>1.22</v>
      </c>
      <c r="G23" s="1">
        <f>$B6-E23</f>
        <v>3.232206896551724</v>
      </c>
      <c r="H23" s="3">
        <f>$B5+E23</f>
        <v>0.7537931034482759</v>
      </c>
      <c r="I23" s="2">
        <f t="shared" si="0"/>
        <v>8.541848212943796</v>
      </c>
      <c r="J23" s="2">
        <f t="shared" si="1"/>
        <v>1.168986626400762</v>
      </c>
      <c r="K23" s="2">
        <f t="shared" si="2"/>
        <v>0.4462664116549814</v>
      </c>
      <c r="L23" s="2">
        <f t="shared" si="3"/>
        <v>0.7227202147457806</v>
      </c>
      <c r="M23" s="2">
        <f t="shared" si="4"/>
        <v>7.654224305593416</v>
      </c>
      <c r="N23" s="2">
        <f t="shared" si="5"/>
        <v>17.641512948028772</v>
      </c>
      <c r="O23" s="2">
        <f>N23*B3</f>
        <v>17.641512948028772</v>
      </c>
      <c r="P23" s="18">
        <f t="shared" si="6"/>
        <v>0.23310344827586205</v>
      </c>
      <c r="Q23" s="2">
        <f>O23/B12</f>
        <v>243.05176500159752</v>
      </c>
    </row>
    <row r="24" spans="4:17" ht="12.75">
      <c r="D24" s="15">
        <v>14</v>
      </c>
      <c r="E24" s="1">
        <f>D24*B10</f>
        <v>0.40793103448275864</v>
      </c>
      <c r="F24">
        <f>B4</f>
        <v>1.22</v>
      </c>
      <c r="G24" s="1">
        <f>$B6-E24</f>
        <v>3.2030689655172417</v>
      </c>
      <c r="H24" s="3">
        <f>$B5+E24</f>
        <v>0.7829310344827587</v>
      </c>
      <c r="I24" s="2">
        <f t="shared" si="0"/>
        <v>8.17163718190674</v>
      </c>
      <c r="J24" s="2">
        <f t="shared" si="1"/>
        <v>1.168986626400762</v>
      </c>
      <c r="K24" s="2">
        <f t="shared" si="2"/>
        <v>0.48143415533307554</v>
      </c>
      <c r="L24" s="2">
        <f t="shared" si="3"/>
        <v>0.6875524710676865</v>
      </c>
      <c r="M24" s="2">
        <f t="shared" si="4"/>
        <v>7.8784298180548875</v>
      </c>
      <c r="N24" s="2">
        <f t="shared" si="5"/>
        <v>17.425171942097002</v>
      </c>
      <c r="O24" s="2">
        <f>N24*B3</f>
        <v>17.425171942097002</v>
      </c>
      <c r="P24" s="18">
        <f t="shared" si="6"/>
        <v>0.21853448275862064</v>
      </c>
      <c r="Q24" s="2">
        <f>O24/B12</f>
        <v>240.07117804803843</v>
      </c>
    </row>
    <row r="25" spans="4:17" ht="12.75">
      <c r="D25" s="15">
        <v>15</v>
      </c>
      <c r="E25" s="1">
        <f>D25*B10</f>
        <v>0.4370689655172414</v>
      </c>
      <c r="F25">
        <f>B4</f>
        <v>1.22</v>
      </c>
      <c r="G25" s="1">
        <f>$B6-E25</f>
        <v>3.173931034482759</v>
      </c>
      <c r="H25" s="3">
        <f>$B5+E25</f>
        <v>0.8120689655172414</v>
      </c>
      <c r="I25" s="2">
        <f t="shared" si="0"/>
        <v>7.806760694732895</v>
      </c>
      <c r="J25" s="2">
        <f t="shared" si="1"/>
        <v>1.168986626400762</v>
      </c>
      <c r="K25" s="2">
        <f t="shared" si="2"/>
        <v>0.5179355349769719</v>
      </c>
      <c r="L25" s="2">
        <f t="shared" si="3"/>
        <v>0.6510510914237901</v>
      </c>
      <c r="M25" s="2">
        <f t="shared" si="4"/>
        <v>8.097300786653147</v>
      </c>
      <c r="N25" s="2">
        <f t="shared" si="5"/>
        <v>17.20616366423362</v>
      </c>
      <c r="O25" s="2">
        <f>N25*B3</f>
        <v>17.20616366423362</v>
      </c>
      <c r="P25" s="18">
        <f t="shared" si="6"/>
        <v>0.2039655172413793</v>
      </c>
      <c r="Q25" s="2">
        <f>O25/B12</f>
        <v>237.05384338737358</v>
      </c>
    </row>
    <row r="26" spans="4:17" ht="12.75">
      <c r="D26" s="15">
        <v>16</v>
      </c>
      <c r="E26" s="1">
        <f>D26*B10</f>
        <v>0.46620689655172415</v>
      </c>
      <c r="F26">
        <f>B4</f>
        <v>1.22</v>
      </c>
      <c r="G26" s="1">
        <f>$B6-E26</f>
        <v>3.144793103448276</v>
      </c>
      <c r="H26" s="3">
        <f>$B5+E26</f>
        <v>0.8412068965517241</v>
      </c>
      <c r="I26" s="2">
        <f t="shared" si="0"/>
        <v>7.447218751422258</v>
      </c>
      <c r="J26" s="2">
        <f t="shared" si="1"/>
        <v>1.168986626400762</v>
      </c>
      <c r="K26" s="2">
        <f t="shared" si="2"/>
        <v>0.5557705505866705</v>
      </c>
      <c r="L26" s="2">
        <f t="shared" si="3"/>
        <v>0.6132160758140915</v>
      </c>
      <c r="M26" s="2">
        <f t="shared" si="4"/>
        <v>8.310837211388197</v>
      </c>
      <c r="N26" s="2">
        <f t="shared" si="5"/>
        <v>16.98448811443864</v>
      </c>
      <c r="O26" s="2">
        <f>N26*B3</f>
        <v>16.98448811443864</v>
      </c>
      <c r="P26" s="18">
        <f t="shared" si="6"/>
        <v>0.18939655172413794</v>
      </c>
      <c r="Q26" s="2">
        <f>O26/B12</f>
        <v>233.99976101960308</v>
      </c>
    </row>
    <row r="27" spans="4:17" ht="12.75">
      <c r="D27" s="15">
        <v>17</v>
      </c>
      <c r="E27" s="1">
        <f>D27*B10</f>
        <v>0.4953448275862069</v>
      </c>
      <c r="F27">
        <f>B4</f>
        <v>1.22</v>
      </c>
      <c r="G27" s="1">
        <f>$B6-E27</f>
        <v>3.1156551724137933</v>
      </c>
      <c r="H27" s="3">
        <f>$B5+E27</f>
        <v>0.8703448275862069</v>
      </c>
      <c r="I27" s="2">
        <f t="shared" si="0"/>
        <v>7.09301135197483</v>
      </c>
      <c r="J27" s="2">
        <f t="shared" si="1"/>
        <v>1.168986626400762</v>
      </c>
      <c r="K27" s="2">
        <f t="shared" si="2"/>
        <v>0.5949392021621714</v>
      </c>
      <c r="L27" s="2">
        <f t="shared" si="3"/>
        <v>0.5740474242385906</v>
      </c>
      <c r="M27" s="2">
        <f t="shared" si="4"/>
        <v>8.51903909226004</v>
      </c>
      <c r="N27" s="2">
        <f t="shared" si="5"/>
        <v>16.760145292712053</v>
      </c>
      <c r="O27" s="2">
        <f>N27*B3</f>
        <v>16.760145292712053</v>
      </c>
      <c r="P27" s="18">
        <f t="shared" si="6"/>
        <v>0.17482758620689653</v>
      </c>
      <c r="Q27" s="2">
        <f>O27/B12</f>
        <v>230.90893094472685</v>
      </c>
    </row>
    <row r="28" spans="4:17" ht="12.75">
      <c r="D28" s="15">
        <v>18</v>
      </c>
      <c r="E28" s="1">
        <f>D28*B10</f>
        <v>0.5244827586206897</v>
      </c>
      <c r="F28">
        <f>B4</f>
        <v>1.22</v>
      </c>
      <c r="G28" s="1">
        <f>$B6-E28</f>
        <v>3.0865172413793105</v>
      </c>
      <c r="H28" s="3">
        <f>$B5+E28</f>
        <v>0.8994827586206897</v>
      </c>
      <c r="I28" s="2">
        <f t="shared" si="0"/>
        <v>6.744138496390612</v>
      </c>
      <c r="J28" s="2">
        <f t="shared" si="1"/>
        <v>1.168986626400762</v>
      </c>
      <c r="K28" s="2">
        <f t="shared" si="2"/>
        <v>0.6354414897034749</v>
      </c>
      <c r="L28" s="2">
        <f t="shared" si="3"/>
        <v>0.5335451366972871</v>
      </c>
      <c r="M28" s="2">
        <f t="shared" si="4"/>
        <v>8.721906429268673</v>
      </c>
      <c r="N28" s="2">
        <f t="shared" si="5"/>
        <v>16.53313519905386</v>
      </c>
      <c r="O28" s="2">
        <f>N28*B3</f>
        <v>16.53313519905386</v>
      </c>
      <c r="P28" s="18">
        <f t="shared" si="6"/>
        <v>0.16025862068965513</v>
      </c>
      <c r="Q28" s="2">
        <f>O28/B12</f>
        <v>227.7813531627449</v>
      </c>
    </row>
    <row r="29" spans="4:17" ht="12.75">
      <c r="D29" s="15">
        <v>19</v>
      </c>
      <c r="E29" s="1">
        <f>D29*B10</f>
        <v>0.5536206896551724</v>
      </c>
      <c r="F29">
        <f>B4</f>
        <v>1.22</v>
      </c>
      <c r="G29" s="1">
        <f>$B6-E29</f>
        <v>3.0573793103448277</v>
      </c>
      <c r="H29" s="3">
        <f>$B5+E29</f>
        <v>0.9286206896551724</v>
      </c>
      <c r="I29" s="2">
        <f t="shared" si="0"/>
        <v>6.400600184669602</v>
      </c>
      <c r="J29" s="2">
        <f t="shared" si="1"/>
        <v>1.168986626400762</v>
      </c>
      <c r="K29" s="2">
        <f t="shared" si="2"/>
        <v>0.6772774132105803</v>
      </c>
      <c r="L29" s="2">
        <f t="shared" si="3"/>
        <v>0.4917092131901817</v>
      </c>
      <c r="M29" s="2">
        <f t="shared" si="4"/>
        <v>8.919439222414097</v>
      </c>
      <c r="N29" s="2">
        <f t="shared" si="5"/>
        <v>16.303457833464062</v>
      </c>
      <c r="O29" s="2">
        <f>N29*B3</f>
        <v>16.303457833464062</v>
      </c>
      <c r="P29" s="18">
        <f t="shared" si="6"/>
        <v>0.14568965517241378</v>
      </c>
      <c r="Q29" s="2">
        <f>O29/B12</f>
        <v>224.61702767365725</v>
      </c>
    </row>
    <row r="30" spans="4:17" ht="12.75">
      <c r="D30" s="15">
        <v>20</v>
      </c>
      <c r="E30" s="1">
        <f>D30*B10</f>
        <v>0.5827586206896552</v>
      </c>
      <c r="F30">
        <f>B4</f>
        <v>1.22</v>
      </c>
      <c r="G30" s="1">
        <f>$B6-E30</f>
        <v>3.028241379310345</v>
      </c>
      <c r="H30" s="3">
        <f>$B5+E30</f>
        <v>0.9577586206896552</v>
      </c>
      <c r="I30" s="2">
        <f t="shared" si="0"/>
        <v>6.062396416811802</v>
      </c>
      <c r="J30" s="2">
        <f t="shared" si="1"/>
        <v>1.168986626400762</v>
      </c>
      <c r="K30" s="2">
        <f t="shared" si="2"/>
        <v>0.7204469726834883</v>
      </c>
      <c r="L30" s="2">
        <f t="shared" si="3"/>
        <v>0.44853965371727367</v>
      </c>
      <c r="M30" s="2">
        <f t="shared" si="4"/>
        <v>9.11163747169631</v>
      </c>
      <c r="N30" s="2">
        <f t="shared" si="5"/>
        <v>16.071113195942658</v>
      </c>
      <c r="O30" s="2">
        <f>N30*B3</f>
        <v>16.071113195942658</v>
      </c>
      <c r="P30" s="18">
        <f t="shared" si="6"/>
        <v>0.13112068965517237</v>
      </c>
      <c r="Q30" s="2">
        <f>O30/B12</f>
        <v>221.41595447746383</v>
      </c>
    </row>
    <row r="31" spans="4:17" ht="12.75">
      <c r="D31" s="15">
        <v>21</v>
      </c>
      <c r="E31" s="1">
        <f>D31*B10</f>
        <v>0.6118965517241379</v>
      </c>
      <c r="F31">
        <f>B4</f>
        <v>1.22</v>
      </c>
      <c r="G31" s="1">
        <f>$B6-E31</f>
        <v>2.9991034482758625</v>
      </c>
      <c r="H31" s="3">
        <f>$B5+E31</f>
        <v>0.9868965517241379</v>
      </c>
      <c r="I31" s="2">
        <f t="shared" si="0"/>
        <v>5.729527192817212</v>
      </c>
      <c r="J31" s="2">
        <f t="shared" si="1"/>
        <v>1.168986626400762</v>
      </c>
      <c r="K31" s="2">
        <f t="shared" si="2"/>
        <v>0.7649501681221984</v>
      </c>
      <c r="L31" s="2">
        <f t="shared" si="3"/>
        <v>0.4040364582785636</v>
      </c>
      <c r="M31" s="2">
        <f t="shared" si="4"/>
        <v>9.298501177115318</v>
      </c>
      <c r="N31" s="2">
        <f t="shared" si="5"/>
        <v>15.836101286489658</v>
      </c>
      <c r="O31" s="2">
        <f>N31*B3</f>
        <v>15.836101286489658</v>
      </c>
      <c r="P31" s="18">
        <f t="shared" si="6"/>
        <v>0.11655172413793102</v>
      </c>
      <c r="Q31" s="2">
        <f>O31/B12</f>
        <v>218.17813357416486</v>
      </c>
    </row>
    <row r="32" spans="4:17" ht="12.75">
      <c r="D32" s="15">
        <v>22</v>
      </c>
      <c r="E32" s="1">
        <f>D32*B10</f>
        <v>0.6410344827586207</v>
      </c>
      <c r="F32">
        <f>B4</f>
        <v>1.22</v>
      </c>
      <c r="G32" s="1">
        <f>$B6-E32</f>
        <v>2.9699655172413797</v>
      </c>
      <c r="H32" s="3">
        <f>$B5+E32</f>
        <v>1.0160344827586207</v>
      </c>
      <c r="I32" s="2">
        <f t="shared" si="0"/>
        <v>5.401992512685829</v>
      </c>
      <c r="J32" s="2">
        <f t="shared" si="1"/>
        <v>1.168986626400762</v>
      </c>
      <c r="K32" s="2">
        <f t="shared" si="2"/>
        <v>0.810786999526711</v>
      </c>
      <c r="L32" s="2">
        <f t="shared" si="3"/>
        <v>0.35819962687405105</v>
      </c>
      <c r="M32" s="2">
        <f t="shared" si="4"/>
        <v>9.480030338671114</v>
      </c>
      <c r="N32" s="2">
        <f t="shared" si="5"/>
        <v>15.598422105105044</v>
      </c>
      <c r="O32" s="2">
        <f>N32*B3</f>
        <v>15.598422105105044</v>
      </c>
      <c r="P32" s="18">
        <f t="shared" si="6"/>
        <v>0.10198275862068962</v>
      </c>
      <c r="Q32" s="2">
        <f>O32/B12</f>
        <v>214.90356496376003</v>
      </c>
    </row>
    <row r="33" spans="4:17" ht="12.75">
      <c r="D33" s="15">
        <v>23</v>
      </c>
      <c r="E33" s="1">
        <f>D33*B10</f>
        <v>0.6701724137931034</v>
      </c>
      <c r="F33">
        <f>B4</f>
        <v>1.22</v>
      </c>
      <c r="G33" s="1">
        <f>$B6-E33</f>
        <v>2.940827586206897</v>
      </c>
      <c r="H33" s="3">
        <f>$B5+E33</f>
        <v>1.0451724137931033</v>
      </c>
      <c r="I33" s="2">
        <f t="shared" si="0"/>
        <v>5.079792376417657</v>
      </c>
      <c r="J33" s="2">
        <f t="shared" si="1"/>
        <v>1.168986626400762</v>
      </c>
      <c r="K33" s="2">
        <f t="shared" si="2"/>
        <v>0.8579574668970255</v>
      </c>
      <c r="L33" s="2">
        <f t="shared" si="3"/>
        <v>0.31102915950373655</v>
      </c>
      <c r="M33" s="2">
        <f t="shared" si="4"/>
        <v>9.6562249563637</v>
      </c>
      <c r="N33" s="2">
        <f t="shared" si="5"/>
        <v>15.35807565178883</v>
      </c>
      <c r="O33" s="2">
        <f>N33*B3</f>
        <v>15.35807565178883</v>
      </c>
      <c r="P33" s="18">
        <f t="shared" si="6"/>
        <v>0.08741379310344832</v>
      </c>
      <c r="Q33" s="2">
        <f>O33/B12</f>
        <v>211.59224864624957</v>
      </c>
    </row>
    <row r="34" spans="4:17" ht="12.75">
      <c r="D34" s="15">
        <v>24</v>
      </c>
      <c r="E34" s="1">
        <f>D34*B10</f>
        <v>0.6993103448275862</v>
      </c>
      <c r="F34">
        <f>B4</f>
        <v>1.22</v>
      </c>
      <c r="G34" s="1">
        <f>$B6-E34</f>
        <v>2.911689655172414</v>
      </c>
      <c r="H34" s="3">
        <f>$B5+E34</f>
        <v>1.0743103448275861</v>
      </c>
      <c r="I34" s="2">
        <f t="shared" si="0"/>
        <v>4.762926784012693</v>
      </c>
      <c r="J34" s="2">
        <f t="shared" si="1"/>
        <v>1.168986626400762</v>
      </c>
      <c r="K34" s="2">
        <f t="shared" si="2"/>
        <v>0.9064615702331424</v>
      </c>
      <c r="L34" s="2">
        <f t="shared" si="3"/>
        <v>0.26252505616761956</v>
      </c>
      <c r="M34" s="2">
        <f t="shared" si="4"/>
        <v>9.827085030193077</v>
      </c>
      <c r="N34" s="2">
        <f t="shared" si="5"/>
        <v>15.11506192654101</v>
      </c>
      <c r="O34" s="2">
        <f>N34*B3</f>
        <v>15.11506192654101</v>
      </c>
      <c r="P34" s="18">
        <f t="shared" si="6"/>
        <v>0.07284482758620692</v>
      </c>
      <c r="Q34" s="2">
        <f>O34/B12</f>
        <v>208.24418462163337</v>
      </c>
    </row>
    <row r="35" spans="4:17" ht="12.75">
      <c r="D35" s="15">
        <v>25</v>
      </c>
      <c r="E35" s="1">
        <f>D35*B10</f>
        <v>0.728448275862069</v>
      </c>
      <c r="F35">
        <f>B4</f>
        <v>1.22</v>
      </c>
      <c r="G35" s="1">
        <f>$B6-E35</f>
        <v>2.8825517241379313</v>
      </c>
      <c r="H35" s="3">
        <f>$B5+E35</f>
        <v>1.103448275862069</v>
      </c>
      <c r="I35" s="2">
        <f t="shared" si="0"/>
        <v>4.451395735470939</v>
      </c>
      <c r="J35" s="2">
        <f t="shared" si="1"/>
        <v>1.168986626400762</v>
      </c>
      <c r="K35" s="2">
        <f t="shared" si="2"/>
        <v>0.9562993095350618</v>
      </c>
      <c r="L35" s="2">
        <f t="shared" si="3"/>
        <v>0.2126873168657002</v>
      </c>
      <c r="M35" s="2">
        <f t="shared" si="4"/>
        <v>9.992610560159246</v>
      </c>
      <c r="N35" s="2">
        <f t="shared" si="5"/>
        <v>14.869380929361586</v>
      </c>
      <c r="O35" s="2">
        <f>N35*B3</f>
        <v>14.869380929361586</v>
      </c>
      <c r="P35" s="18">
        <f t="shared" si="6"/>
        <v>0.05827586206896551</v>
      </c>
      <c r="Q35" s="2">
        <f>O35/B12</f>
        <v>204.85937288991147</v>
      </c>
    </row>
    <row r="36" spans="4:17" ht="12.75">
      <c r="D36" s="15">
        <v>26</v>
      </c>
      <c r="E36" s="1">
        <f>D36*B10</f>
        <v>0.7575862068965518</v>
      </c>
      <c r="F36">
        <f>B4</f>
        <v>1.22</v>
      </c>
      <c r="G36" s="1">
        <f>$B6-E36</f>
        <v>2.8534137931034484</v>
      </c>
      <c r="H36" s="3">
        <f>$B5+E36</f>
        <v>1.1325862068965518</v>
      </c>
      <c r="I36" s="2">
        <f t="shared" si="0"/>
        <v>4.145199230792393</v>
      </c>
      <c r="J36" s="2">
        <f t="shared" si="1"/>
        <v>1.168986626400762</v>
      </c>
      <c r="K36" s="2">
        <f t="shared" si="2"/>
        <v>1.0074706848027837</v>
      </c>
      <c r="L36" s="2">
        <f t="shared" si="3"/>
        <v>0.16151594159797833</v>
      </c>
      <c r="M36" s="2">
        <f t="shared" si="4"/>
        <v>10.152801546262205</v>
      </c>
      <c r="N36" s="2">
        <f t="shared" si="5"/>
        <v>14.621032660250556</v>
      </c>
      <c r="O36" s="2">
        <f>N36*B3</f>
        <v>14.621032660250556</v>
      </c>
      <c r="P36" s="18">
        <f t="shared" si="6"/>
        <v>0.043706896551724106</v>
      </c>
      <c r="Q36" s="2">
        <f>O36/B12</f>
        <v>201.43781345108385</v>
      </c>
    </row>
    <row r="37" spans="4:17" ht="12.75">
      <c r="D37" s="15">
        <v>27</v>
      </c>
      <c r="E37" s="1">
        <f>D37*B10</f>
        <v>0.7867241379310345</v>
      </c>
      <c r="F37">
        <f>B4</f>
        <v>1.22</v>
      </c>
      <c r="G37" s="1">
        <f>$B6-E37</f>
        <v>2.8242758620689656</v>
      </c>
      <c r="H37" s="3">
        <f>$B5+E37</f>
        <v>1.1617241379310346</v>
      </c>
      <c r="I37" s="2">
        <f t="shared" si="0"/>
        <v>3.8443372699770575</v>
      </c>
      <c r="J37" s="2">
        <f t="shared" si="1"/>
        <v>1.168986626400762</v>
      </c>
      <c r="K37" s="2">
        <f t="shared" si="2"/>
        <v>1.0599756960363076</v>
      </c>
      <c r="L37" s="2">
        <f t="shared" si="3"/>
        <v>0.10901093036445442</v>
      </c>
      <c r="M37" s="2">
        <f t="shared" si="4"/>
        <v>10.307657988501957</v>
      </c>
      <c r="N37" s="2">
        <f t="shared" si="5"/>
        <v>14.370017119207922</v>
      </c>
      <c r="O37" s="2">
        <f>N37*B3</f>
        <v>14.370017119207922</v>
      </c>
      <c r="P37" s="18">
        <f t="shared" si="6"/>
        <v>0.0291379310344827</v>
      </c>
      <c r="Q37" s="2">
        <f>O37/B12</f>
        <v>197.97950630515052</v>
      </c>
    </row>
    <row r="38" spans="4:17" ht="12.75">
      <c r="D38" s="15">
        <v>28</v>
      </c>
      <c r="E38" s="1">
        <f>D38*$B$10</f>
        <v>0.8158620689655173</v>
      </c>
      <c r="F38">
        <f>$B$4</f>
        <v>1.22</v>
      </c>
      <c r="G38" s="1">
        <f>$B$6-E38</f>
        <v>2.795137931034483</v>
      </c>
      <c r="H38" s="3">
        <f>$B$5+E38</f>
        <v>1.1908620689655174</v>
      </c>
      <c r="I38" s="2">
        <f t="shared" si="0"/>
        <v>3.54880985302493</v>
      </c>
      <c r="J38" s="2">
        <f t="shared" si="1"/>
        <v>1.168986626400762</v>
      </c>
      <c r="K38" s="2">
        <f t="shared" si="2"/>
        <v>1.113814343235634</v>
      </c>
      <c r="L38" s="2">
        <f t="shared" si="3"/>
        <v>0.05517228316512801</v>
      </c>
      <c r="M38" s="2">
        <f t="shared" si="4"/>
        <v>10.457179886878498</v>
      </c>
      <c r="N38" s="2">
        <f t="shared" si="5"/>
        <v>14.116334306233684</v>
      </c>
      <c r="O38" s="2">
        <f>N38*$B$3</f>
        <v>14.116334306233684</v>
      </c>
      <c r="P38" s="18">
        <f t="shared" si="6"/>
        <v>0.014568965517241295</v>
      </c>
      <c r="Q38" s="2">
        <f>O38/$B$12</f>
        <v>194.4844514521115</v>
      </c>
    </row>
    <row r="39" spans="1:17" ht="12.75">
      <c r="A39" t="s">
        <v>119</v>
      </c>
      <c r="D39" s="15">
        <v>29</v>
      </c>
      <c r="E39" s="1">
        <f>D39*$B$10</f>
        <v>0.845</v>
      </c>
      <c r="F39">
        <f>$B$4</f>
        <v>1.22</v>
      </c>
      <c r="G39" s="1">
        <f>$B$6-E39</f>
        <v>2.766</v>
      </c>
      <c r="H39" s="3">
        <f>$B$5+E39</f>
        <v>1.22</v>
      </c>
      <c r="I39" s="2">
        <f t="shared" si="0"/>
        <v>3.2586169799360127</v>
      </c>
      <c r="J39" s="2">
        <f>((F39/2)^2)*PI()</f>
        <v>1.168986626400762</v>
      </c>
      <c r="K39" s="2">
        <f>((H39/2)^2)*PI()</f>
        <v>1.168986626400762</v>
      </c>
      <c r="L39" s="2">
        <f>J39-K39</f>
        <v>0</v>
      </c>
      <c r="M39" s="2">
        <f>(H39*PI())*G39</f>
        <v>10.601367241391829</v>
      </c>
      <c r="N39" s="2">
        <f t="shared" si="5"/>
        <v>13.859984221327842</v>
      </c>
      <c r="O39" s="2">
        <f>N39*$B$3</f>
        <v>13.859984221327842</v>
      </c>
      <c r="P39" s="18">
        <f t="shared" si="6"/>
        <v>0</v>
      </c>
      <c r="Q39" s="2">
        <f>O39/$B$12</f>
        <v>190.9526488919668</v>
      </c>
    </row>
    <row r="40" ht="12.75">
      <c r="A40" s="9" t="s">
        <v>73</v>
      </c>
    </row>
    <row r="41" ht="12.75">
      <c r="A41" s="9" t="s">
        <v>145</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78</v>
      </c>
    </row>
    <row r="11" spans="1:5" ht="12.75">
      <c r="A11" t="s">
        <v>65</v>
      </c>
      <c r="D11">
        <v>1.24</v>
      </c>
      <c r="E11" t="s">
        <v>43</v>
      </c>
    </row>
    <row r="12" ht="12.75">
      <c r="A12" t="s">
        <v>64</v>
      </c>
    </row>
    <row r="13" ht="12.75">
      <c r="A13" t="s">
        <v>67</v>
      </c>
    </row>
    <row r="17" ht="12.75">
      <c r="A17" t="s">
        <v>79</v>
      </c>
    </row>
    <row r="18" spans="1:5" ht="12.75">
      <c r="A18" t="s">
        <v>80</v>
      </c>
      <c r="B18" t="s">
        <v>81</v>
      </c>
      <c r="C18" t="s">
        <v>82</v>
      </c>
      <c r="D18" t="s">
        <v>83</v>
      </c>
      <c r="E18" t="s">
        <v>84</v>
      </c>
    </row>
    <row r="19" spans="1:5" ht="12.75">
      <c r="A19" t="s">
        <v>85</v>
      </c>
      <c r="B19">
        <v>5</v>
      </c>
      <c r="C19">
        <v>6.875</v>
      </c>
      <c r="D19">
        <v>8.75</v>
      </c>
      <c r="E19">
        <v>12.5</v>
      </c>
    </row>
    <row r="20" spans="1:5" ht="12.75">
      <c r="A20" t="s">
        <v>86</v>
      </c>
      <c r="B20">
        <f>B19-1.25</f>
        <v>3.75</v>
      </c>
      <c r="C20">
        <f>C19-1.25</f>
        <v>5.625</v>
      </c>
      <c r="D20">
        <f>D19-1.25</f>
        <v>7.5</v>
      </c>
      <c r="E20">
        <f>E19-1.25</f>
        <v>11.25</v>
      </c>
    </row>
    <row r="21" spans="1:5" ht="12.75">
      <c r="A21" t="s">
        <v>87</v>
      </c>
      <c r="B21">
        <f>B19-1.375</f>
        <v>3.625</v>
      </c>
      <c r="C21">
        <f>C19-1.375</f>
        <v>5.5</v>
      </c>
      <c r="D21">
        <f>D19-1.375</f>
        <v>7.375</v>
      </c>
      <c r="E21">
        <f>E19-1.375</f>
        <v>11.125</v>
      </c>
    </row>
    <row r="22" spans="1:10" ht="12.75">
      <c r="A22" t="s">
        <v>88</v>
      </c>
      <c r="B22">
        <f>B19+1.0625</f>
        <v>6.0625</v>
      </c>
      <c r="C22">
        <f>C19+1.0625</f>
        <v>7.9375</v>
      </c>
      <c r="D22">
        <f>D19+1.0625</f>
        <v>9.8125</v>
      </c>
      <c r="E22">
        <f>E19+1.0625</f>
        <v>13.5625</v>
      </c>
      <c r="J22" t="s">
        <v>63</v>
      </c>
    </row>
    <row r="23" spans="1:5" ht="12.75">
      <c r="A23" t="s">
        <v>89</v>
      </c>
      <c r="B23">
        <f>B19+0.6875</f>
        <v>5.6875</v>
      </c>
      <c r="C23">
        <f>C19+0.6875</f>
        <v>7.5625</v>
      </c>
      <c r="D23">
        <f>D19+0.6875</f>
        <v>9.4375</v>
      </c>
      <c r="E23">
        <f>E19+0.6875</f>
        <v>13.1875</v>
      </c>
    </row>
    <row r="28" ht="12.75">
      <c r="A28" t="s">
        <v>90</v>
      </c>
    </row>
    <row r="29" spans="1:2" ht="12.75">
      <c r="A29" t="s">
        <v>91</v>
      </c>
      <c r="B29" t="s">
        <v>92</v>
      </c>
    </row>
    <row r="30" spans="1:2" ht="12.75">
      <c r="A30" t="s">
        <v>93</v>
      </c>
      <c r="B30" t="s">
        <v>94</v>
      </c>
    </row>
    <row r="31" spans="1:2" ht="12.75">
      <c r="A31" t="s">
        <v>95</v>
      </c>
      <c r="B31" t="s">
        <v>96</v>
      </c>
    </row>
    <row r="32" spans="1:2" ht="12.75">
      <c r="A32" t="s">
        <v>97</v>
      </c>
      <c r="B32" t="s">
        <v>98</v>
      </c>
    </row>
    <row r="35" spans="1:3" ht="12.75">
      <c r="A35" t="s">
        <v>150</v>
      </c>
      <c r="B35">
        <f>0.178*3.1416</f>
        <v>0.5592048</v>
      </c>
      <c r="C35" t="s">
        <v>151</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2007-12-22T04:05:19Z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