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<sst xmlns="http://schemas.openxmlformats.org/spreadsheetml/2006/main" count="222" uniqueCount="171">
  <si>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</si>
  <si>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</si>
  <si>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</si>
  <si>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</si>
  <si>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</si>
  <si>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</si>
  <si>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</si>
  <si>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</si>
  <si>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</si>
  <si>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</si>
  <si>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</si>
  <si>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</si>
  <si>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</si>
  <si>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</si>
  <si>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</si>
  <si>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</si>
  <si>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</si>
  <si>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</si>
  <si>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</si>
  <si>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</si>
  <si>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</si>
  <si>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</si>
  <si>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</si>
  <si>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</si>
  <si>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</si>
  <si>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</si>
  <si>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</si>
  <si>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</si>
  <si>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</si>
  <si>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</si>
  <si>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</si>
  <si>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</si>
  <si>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</si>
  <si>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</si>
  <si>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</si>
  <si>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</si>
  <si>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</si>
  <si>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</si>
  <si>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</si>
  <si>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</si>
  <si>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</si>
  <si>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</si>
  <si>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</si>
  <si>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</si>
  <si>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</si>
  <si>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</si>
  <si>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</si>
  <si>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</si>
  <si>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</si>
  <si>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</si>
  <si>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</si>
  <si>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</si>
  <si>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</si>
  <si>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</si>
  <si>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</si>
  <si>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</si>
  <si>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</si>
  <si>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</si>
  <si>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</si>
  <si>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</si>
  <si>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</si>
  <si>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</si>
  <si>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</si>
  <si>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</si>
  <si>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</si>
  <si>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</si>
  <si>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</si>
  <si>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</si>
  <si>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</si>
  <si>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</si>
  <si>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</si>
  <si>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</si>
  <si>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</si>
  <si>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</si>
  <si>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</si>
  <si>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</si>
  <si>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</si>
  <si>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</si>
  <si>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</si>
  <si>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</si>
  <si>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</si>
  <si>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</si>
  <si>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</si>
  <si>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</si>
  <si>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</si>
  <si>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</si>
  <si>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</si>
  <si>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</si>
  <si>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</si>
  <si>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</si>
  <si>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</si>
  <si>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</si>
  <si>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</si>
  <si>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</si>
  <si>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</si>
  <si>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</si>
  <si>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</si>
  <si>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</si>
  <si>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</si>
  <si>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</si>
  <si>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</si>
  <si>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</si>
  <si>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</si>
  <si>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</si>
  <si>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</si>
  <si>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</si>
  <si>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</si>
  <si>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</si>
  <si>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</si>
  <si>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</si>
  <si>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</si>
  <si>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</si>
  <si>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</si>
  <si>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</si>
  <si>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</si>
  <si>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</si>
  <si>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</si>
  <si>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</si>
  <si>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</si>
  <si>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</si>
  <si>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</si>
  <si>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</si>
  <si>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</si>
  <si>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</si>
  <si>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</si>
  <si>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</si>
  <si>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</si>
  <si>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</si>
  <si>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</si>
  <si>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</si>
  <si>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</si>
  <si>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</si>
  <si>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</si>
  <si>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</si>
  <si>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</si>
  <si>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</si>
  <si>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</si>
  <si>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</si>
  <si>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</si>
  <si>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</si>
  <si>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</si>
  <si>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</si>
  <si>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</si>
  <si>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</si>
  <si>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</si>
  <si>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</si>
  <si>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</si>
  <si>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</si>
  <si>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</si>
  <si>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</si>
  <si>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</si>
  <si>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</si>
  <si>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</si>
  <si>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(includes fuse paper wraps)</t>
  </si>
  <si>
    <t>(bare grain,no fuse paper)</t>
  </si>
  <si>
    <t>Jon Carter, steel, no erosion</t>
  </si>
  <si>
    <t>Uninhibited Grain Kn Calculator</t>
  </si>
  <si>
    <t>This sample uses decimal inches, but millimeters works fine too.</t>
  </si>
  <si>
    <t>End</t>
  </si>
  <si>
    <t>Single grain, uninhibited</t>
  </si>
  <si>
    <t>KNO3/Malt Extract/Dextrose rcandy</t>
  </si>
  <si>
    <t>Strand burns in about 8 seconds at 1 atm.</t>
  </si>
  <si>
    <t>Mixture of all-DME rcandy and all-dextrose rcandy, about 1:2 ratio.  Includes about 0.3% RIO</t>
  </si>
  <si>
    <t>KN/DME/DX rcandy</t>
  </si>
  <si>
    <t>8 seconds per inch</t>
  </si>
  <si>
    <t>2/24/07C</t>
  </si>
  <si>
    <t>(KN/SU - this motor is NOT burning KN/SU propellant, these values for comparison purposes only)</t>
  </si>
  <si>
    <t>Grain wrapped in coffee-filter fuse paper, ignitor is fuse paper with tiny pinch black powder on bridge wire</t>
  </si>
  <si>
    <t>Data from 500lbf load cell, Amp C, Switches 4 and 5 on</t>
  </si>
  <si>
    <t>Tested on 500 lbf load cell</t>
  </si>
  <si>
    <t>Amp C, switches 4 and 5 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</si>
</sst>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dextrose/malt extract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Data!$B$50:$B$170</c:f>
              <c:numCache>
                <c:ptCount val="121"/>
                <c:pt idx="0">
                  <c:v>0.38134882614</c:v>
                </c:pt>
                <c:pt idx="1">
                  <c:v>0.7626585937499999</c:v>
                </c:pt>
                <c:pt idx="2">
                  <c:v>1.14396836136</c:v>
                </c:pt>
                <c:pt idx="3">
                  <c:v>1.14396836136</c:v>
                </c:pt>
                <c:pt idx="4">
                  <c:v>0.7626585937499999</c:v>
                </c:pt>
                <c:pt idx="5">
                  <c:v>0.7626585937499999</c:v>
                </c:pt>
                <c:pt idx="6">
                  <c:v>1.14396836136</c:v>
                </c:pt>
                <c:pt idx="7">
                  <c:v>1.14396836136</c:v>
                </c:pt>
                <c:pt idx="8">
                  <c:v>1.14396836136</c:v>
                </c:pt>
                <c:pt idx="9">
                  <c:v>1.14396836136</c:v>
                </c:pt>
                <c:pt idx="10">
                  <c:v>1.14396836136</c:v>
                </c:pt>
                <c:pt idx="11">
                  <c:v>1.14396836136</c:v>
                </c:pt>
                <c:pt idx="12">
                  <c:v>1.5253366989</c:v>
                </c:pt>
                <c:pt idx="13">
                  <c:v>1.5253366989</c:v>
                </c:pt>
                <c:pt idx="14">
                  <c:v>1.9066269432</c:v>
                </c:pt>
                <c:pt idx="15">
                  <c:v>1.9066269432</c:v>
                </c:pt>
                <c:pt idx="16">
                  <c:v>2.6692074318</c:v>
                </c:pt>
                <c:pt idx="17">
                  <c:v>4.1945636421</c:v>
                </c:pt>
                <c:pt idx="18">
                  <c:v>5.719724619299999</c:v>
                </c:pt>
                <c:pt idx="19">
                  <c:v>7.626371073900001</c:v>
                </c:pt>
                <c:pt idx="20">
                  <c:v>10.676888261399998</c:v>
                </c:pt>
                <c:pt idx="21">
                  <c:v>17.1592128807</c:v>
                </c:pt>
                <c:pt idx="22">
                  <c:v>28.598505909</c:v>
                </c:pt>
                <c:pt idx="23">
                  <c:v>44.613477102</c:v>
                </c:pt>
                <c:pt idx="24">
                  <c:v>61.391809716</c:v>
                </c:pt>
                <c:pt idx="25">
                  <c:v>75.11864897699998</c:v>
                </c:pt>
                <c:pt idx="26">
                  <c:v>80.83897880699999</c:v>
                </c:pt>
                <c:pt idx="27">
                  <c:v>85.03258579499999</c:v>
                </c:pt>
                <c:pt idx="28">
                  <c:v>90.37221107999999</c:v>
                </c:pt>
                <c:pt idx="29">
                  <c:v>92.27768613599999</c:v>
                </c:pt>
                <c:pt idx="30">
                  <c:v>93.041047557</c:v>
                </c:pt>
                <c:pt idx="31">
                  <c:v>94.18511352299998</c:v>
                </c:pt>
                <c:pt idx="32">
                  <c:v>96.85394999999998</c:v>
                </c:pt>
                <c:pt idx="33">
                  <c:v>101.047556988</c:v>
                </c:pt>
                <c:pt idx="34">
                  <c:v>104.86241176199998</c:v>
                </c:pt>
                <c:pt idx="35">
                  <c:v>106.76788681799998</c:v>
                </c:pt>
                <c:pt idx="36">
                  <c:v>106.76788681799998</c:v>
                </c:pt>
                <c:pt idx="37">
                  <c:v>106.38718227299998</c:v>
                </c:pt>
                <c:pt idx="38">
                  <c:v>106.38718227299998</c:v>
                </c:pt>
                <c:pt idx="39">
                  <c:v>106.38718227299998</c:v>
                </c:pt>
                <c:pt idx="40">
                  <c:v>106.00647772799998</c:v>
                </c:pt>
                <c:pt idx="41">
                  <c:v>106.00647772799998</c:v>
                </c:pt>
                <c:pt idx="42">
                  <c:v>106.38718227299998</c:v>
                </c:pt>
                <c:pt idx="43">
                  <c:v>106.38718227299998</c:v>
                </c:pt>
                <c:pt idx="44">
                  <c:v>106.38718227299998</c:v>
                </c:pt>
                <c:pt idx="45">
                  <c:v>106.38718227299998</c:v>
                </c:pt>
                <c:pt idx="46">
                  <c:v>106.38718227299998</c:v>
                </c:pt>
                <c:pt idx="47">
                  <c:v>106.38718227299998</c:v>
                </c:pt>
                <c:pt idx="48">
                  <c:v>106.38718227299998</c:v>
                </c:pt>
                <c:pt idx="49">
                  <c:v>106.38718227299998</c:v>
                </c:pt>
                <c:pt idx="50">
                  <c:v>106.38718227299998</c:v>
                </c:pt>
                <c:pt idx="51">
                  <c:v>106.38718227299998</c:v>
                </c:pt>
                <c:pt idx="52">
                  <c:v>106.38718227299998</c:v>
                </c:pt>
                <c:pt idx="53">
                  <c:v>106.38718227299998</c:v>
                </c:pt>
                <c:pt idx="54">
                  <c:v>106.38718227299998</c:v>
                </c:pt>
                <c:pt idx="55">
                  <c:v>106.38718227299998</c:v>
                </c:pt>
                <c:pt idx="56">
                  <c:v>106.38718227299998</c:v>
                </c:pt>
                <c:pt idx="57">
                  <c:v>106.38718227299998</c:v>
                </c:pt>
                <c:pt idx="58">
                  <c:v>106.38718227299998</c:v>
                </c:pt>
                <c:pt idx="59">
                  <c:v>106.38718227299998</c:v>
                </c:pt>
                <c:pt idx="60">
                  <c:v>106.38718227299998</c:v>
                </c:pt>
                <c:pt idx="61">
                  <c:v>106.00647772799998</c:v>
                </c:pt>
                <c:pt idx="62">
                  <c:v>105.623820852</c:v>
                </c:pt>
                <c:pt idx="63">
                  <c:v>105.623820852</c:v>
                </c:pt>
                <c:pt idx="64">
                  <c:v>105.623820852</c:v>
                </c:pt>
                <c:pt idx="65">
                  <c:v>105.243116307</c:v>
                </c:pt>
                <c:pt idx="66">
                  <c:v>105.243116307</c:v>
                </c:pt>
                <c:pt idx="67">
                  <c:v>104.86241176199998</c:v>
                </c:pt>
                <c:pt idx="68">
                  <c:v>104.86241176199998</c:v>
                </c:pt>
                <c:pt idx="69">
                  <c:v>104.86241176199998</c:v>
                </c:pt>
                <c:pt idx="70">
                  <c:v>104.47975488599998</c:v>
                </c:pt>
                <c:pt idx="71">
                  <c:v>104.099050341</c:v>
                </c:pt>
                <c:pt idx="72">
                  <c:v>103.718345796</c:v>
                </c:pt>
                <c:pt idx="73">
                  <c:v>102.95498437499998</c:v>
                </c:pt>
                <c:pt idx="74">
                  <c:v>102.19162295399998</c:v>
                </c:pt>
                <c:pt idx="75">
                  <c:v>101.43021386399998</c:v>
                </c:pt>
                <c:pt idx="76">
                  <c:v>99.142081932</c:v>
                </c:pt>
                <c:pt idx="77">
                  <c:v>95.70988403399998</c:v>
                </c:pt>
                <c:pt idx="78">
                  <c:v>89.98955420399999</c:v>
                </c:pt>
                <c:pt idx="79">
                  <c:v>83.50781528399999</c:v>
                </c:pt>
                <c:pt idx="80">
                  <c:v>77.40678090899999</c:v>
                </c:pt>
                <c:pt idx="81">
                  <c:v>71.686451079</c:v>
                </c:pt>
                <c:pt idx="82">
                  <c:v>66.72948266999998</c:v>
                </c:pt>
                <c:pt idx="83">
                  <c:v>61.772514261</c:v>
                </c:pt>
                <c:pt idx="84">
                  <c:v>56.434841307</c:v>
                </c:pt>
                <c:pt idx="85">
                  <c:v>49.953102387</c:v>
                </c:pt>
                <c:pt idx="86">
                  <c:v>43.469411136</c:v>
                </c:pt>
                <c:pt idx="87">
                  <c:v>36.606967671</c:v>
                </c:pt>
                <c:pt idx="88">
                  <c:v>32.411408352</c:v>
                </c:pt>
                <c:pt idx="89">
                  <c:v>27.454439943</c:v>
                </c:pt>
                <c:pt idx="90">
                  <c:v>21.734110113</c:v>
                </c:pt>
                <c:pt idx="91">
                  <c:v>17.540503125</c:v>
                </c:pt>
                <c:pt idx="92">
                  <c:v>14.489985937499998</c:v>
                </c:pt>
                <c:pt idx="93">
                  <c:v>11.8207589943</c:v>
                </c:pt>
                <c:pt idx="94">
                  <c:v>9.532822295399999</c:v>
                </c:pt>
                <c:pt idx="95">
                  <c:v>8.0076613182</c:v>
                </c:pt>
                <c:pt idx="96">
                  <c:v>6.482305107899999</c:v>
                </c:pt>
                <c:pt idx="97">
                  <c:v>5.719724619299999</c:v>
                </c:pt>
                <c:pt idx="98">
                  <c:v>5.338434374999999</c:v>
                </c:pt>
                <c:pt idx="99">
                  <c:v>4.1945636421</c:v>
                </c:pt>
                <c:pt idx="100">
                  <c:v>3.8132733977999997</c:v>
                </c:pt>
                <c:pt idx="101">
                  <c:v>3.0504976761</c:v>
                </c:pt>
                <c:pt idx="102">
                  <c:v>2.2879171874999997</c:v>
                </c:pt>
                <c:pt idx="103">
                  <c:v>1.9066269432</c:v>
                </c:pt>
                <c:pt idx="104">
                  <c:v>1.9066269432</c:v>
                </c:pt>
                <c:pt idx="105">
                  <c:v>0.7626585937499999</c:v>
                </c:pt>
                <c:pt idx="106">
                  <c:v>0.7626585937499999</c:v>
                </c:pt>
                <c:pt idx="107">
                  <c:v>0.38134882614</c:v>
                </c:pt>
                <c:pt idx="108">
                  <c:v>0.38134882614</c:v>
                </c:pt>
                <c:pt idx="109">
                  <c:v>0.38134882614</c:v>
                </c:pt>
                <c:pt idx="110">
                  <c:v>0.38134882614</c:v>
                </c:pt>
                <c:pt idx="111">
                  <c:v>0.38134882614</c:v>
                </c:pt>
                <c:pt idx="112">
                  <c:v>0.38134882614</c:v>
                </c:pt>
                <c:pt idx="113">
                  <c:v>3.905852999996906E-05</c:v>
                </c:pt>
                <c:pt idx="114">
                  <c:v>3.905852999996906E-05</c:v>
                </c:pt>
                <c:pt idx="115">
                  <c:v>-0.38129023239</c:v>
                </c:pt>
                <c:pt idx="116">
                  <c:v>-0.38129023239</c:v>
                </c:pt>
                <c:pt idx="117">
                  <c:v>-0.38129023239</c:v>
                </c:pt>
                <c:pt idx="118">
                  <c:v>-0.38129023239</c:v>
                </c:pt>
                <c:pt idx="119">
                  <c:v>-0.38129023239</c:v>
                </c:pt>
                <c:pt idx="120">
                  <c:v>-0.38129023239</c:v>
                </c:pt>
              </c:numCache>
            </c:numRef>
          </c:val>
          <c:smooth val="0"/>
        </c:ser>
        <c:axId val="37199071"/>
        <c:axId val="66356184"/>
      </c:lineChart>
      <c:catAx>
        <c:axId val="37199071"/>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66356184"/>
        <c:crosses val="autoZero"/>
        <c:auto val="1"/>
        <c:lblOffset val="100"/>
        <c:noMultiLvlLbl val="0"/>
      </c:catAx>
      <c:valAx>
        <c:axId val="66356184"/>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37199071"/>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ptCount val="6"/>
                <c:pt idx="0">
                  <c:v>0</c:v>
                </c:pt>
                <c:pt idx="1">
                  <c:v>0</c:v>
                </c:pt>
                <c:pt idx="2">
                  <c:v>0</c:v>
                </c:pt>
                <c:pt idx="3">
                  <c:v>0</c:v>
                </c:pt>
                <c:pt idx="4">
                  <c:v>0</c:v>
                </c:pt>
                <c:pt idx="5">
                  <c:v>0</c:v>
                </c:pt>
              </c:numCache>
            </c:numRef>
          </c:val>
          <c:smooth val="0"/>
        </c:ser>
        <c:axId val="60334745"/>
        <c:axId val="6141794"/>
      </c:lineChart>
      <c:catAx>
        <c:axId val="60334745"/>
        <c:scaling>
          <c:orientation val="minMax"/>
        </c:scaling>
        <c:axPos val="b"/>
        <c:delete val="0"/>
        <c:numFmt formatCode="General" sourceLinked="1"/>
        <c:majorTickMark val="out"/>
        <c:minorTickMark val="none"/>
        <c:tickLblPos val="nextTo"/>
        <c:crossAx val="6141794"/>
        <c:crosses val="autoZero"/>
        <c:auto val="1"/>
        <c:lblOffset val="100"/>
        <c:noMultiLvlLbl val="0"/>
      </c:catAx>
      <c:valAx>
        <c:axId val="6141794"/>
        <c:scaling>
          <c:orientation val="minMax"/>
          <c:max val="30"/>
          <c:min val="0"/>
        </c:scaling>
        <c:axPos val="l"/>
        <c:majorGridlines/>
        <c:delete val="0"/>
        <c:numFmt formatCode="0.00" sourceLinked="0"/>
        <c:majorTickMark val="out"/>
        <c:minorTickMark val="none"/>
        <c:tickLblPos val="nextTo"/>
        <c:crossAx val="60334745"/>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Data!$B$50:$B$170</c:f>
              <c:numCache/>
            </c:numRef>
          </c:val>
          <c:smooth val="0"/>
        </c:ser>
        <c:marker val="1"/>
        <c:axId val="55276147"/>
        <c:axId val="27723276"/>
      </c:lineChart>
      <c:catAx>
        <c:axId val="55276147"/>
        <c:scaling>
          <c:orientation val="minMax"/>
        </c:scaling>
        <c:axPos val="b"/>
        <c:delete val="0"/>
        <c:numFmt formatCode="General" sourceLinked="1"/>
        <c:majorTickMark val="out"/>
        <c:minorTickMark val="none"/>
        <c:tickLblPos val="nextTo"/>
        <c:crossAx val="27723276"/>
        <c:crosses val="autoZero"/>
        <c:auto val="1"/>
        <c:lblOffset val="100"/>
        <c:noMultiLvlLbl val="0"/>
      </c:catAx>
      <c:valAx>
        <c:axId val="27723276"/>
        <c:scaling>
          <c:orientation val="minMax"/>
        </c:scaling>
        <c:axPos val="l"/>
        <c:majorGridlines/>
        <c:delete val="0"/>
        <c:numFmt formatCode="General" sourceLinked="1"/>
        <c:majorTickMark val="out"/>
        <c:minorTickMark val="none"/>
        <c:tickLblPos val="nextTo"/>
        <c:crossAx val="55276147"/>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48182893"/>
        <c:axId val="30992854"/>
      </c:lineChart>
      <c:catAx>
        <c:axId val="48182893"/>
        <c:scaling>
          <c:orientation val="minMax"/>
        </c:scaling>
        <c:axPos val="b"/>
        <c:delete val="0"/>
        <c:numFmt formatCode="General" sourceLinked="1"/>
        <c:majorTickMark val="out"/>
        <c:minorTickMark val="none"/>
        <c:tickLblPos val="nextTo"/>
        <c:crossAx val="30992854"/>
        <c:crosses val="autoZero"/>
        <c:auto val="1"/>
        <c:lblOffset val="100"/>
        <c:noMultiLvlLbl val="0"/>
      </c:catAx>
      <c:valAx>
        <c:axId val="30992854"/>
        <c:scaling>
          <c:orientation val="minMax"/>
          <c:max val="350"/>
          <c:min val="0"/>
        </c:scaling>
        <c:axPos val="l"/>
        <c:majorGridlines/>
        <c:delete val="0"/>
        <c:numFmt formatCode="0" sourceLinked="0"/>
        <c:majorTickMark val="out"/>
        <c:minorTickMark val="none"/>
        <c:tickLblPos val="nextTo"/>
        <c:crossAx val="4818289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numRef>
          </c:val>
          <c:smooth val="0"/>
        </c:ser>
        <c:axId val="10500231"/>
        <c:axId val="27393216"/>
      </c:lineChart>
      <c:catAx>
        <c:axId val="10500231"/>
        <c:scaling>
          <c:orientation val="minMax"/>
        </c:scaling>
        <c:axPos val="b"/>
        <c:delete val="0"/>
        <c:numFmt formatCode="General" sourceLinked="1"/>
        <c:majorTickMark val="out"/>
        <c:minorTickMark val="none"/>
        <c:tickLblPos val="nextTo"/>
        <c:crossAx val="27393216"/>
        <c:crosses val="autoZero"/>
        <c:auto val="1"/>
        <c:lblOffset val="100"/>
        <c:noMultiLvlLbl val="0"/>
      </c:catAx>
      <c:valAx>
        <c:axId val="27393216"/>
        <c:scaling>
          <c:orientation val="minMax"/>
          <c:max val="350"/>
          <c:min val="0"/>
        </c:scaling>
        <c:axPos val="l"/>
        <c:majorGridlines/>
        <c:delete val="0"/>
        <c:numFmt formatCode="0" sourceLinked="0"/>
        <c:majorTickMark val="out"/>
        <c:minorTickMark val="none"/>
        <c:tickLblPos val="nextTo"/>
        <c:crossAx val="10500231"/>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Propellant is skillet rcandy, consisting of 2/3rds KNO3/dextrose rcandy (batch 2/24/07B), the remaining third is malt rcandy made with Dry Malt Extract as the primary fuel (batch 2/23/07A).  
By itself, the dry malt propellant is very resistant to ignition. A strand requires that a propane torch flame be focused upon it constantly to get it to burn.  A motor made with this propellant failed to ignite in 3 tries, with successively more intense ignitors.  The last ignitor was made with a 5-inch piece of homemade fuse, and the motor chuffed for about as long as the fuse would have burned.  Upon examination, very little of the propellant had burned, so it was reheated and used in the present batch.
Grain is wrapped in one coffee-filter of fuse paper, which makes for about 1.5 turns.  It is trimmed on either end to about 1/2 inch from the end of the propellant grain.  Ignitor is fuse paper strip with a small pinch of black powder against the bridge wire to ensure ignition.
Burn is quick and vigorous, a little faster than KN/sucrose tests I've done with this motor.  I'll try this again without the RIO.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165</v>
      </c>
      <c r="B1" t="s">
        <v>160</v>
      </c>
    </row>
    <row r="2" ht="12.75">
      <c r="B2" t="s">
        <v>162</v>
      </c>
    </row>
    <row r="3" ht="12.75">
      <c r="B3" t="s">
        <v>161</v>
      </c>
    </row>
    <row r="4" ht="12.75">
      <c r="B4" t="s">
        <v>167</v>
      </c>
    </row>
    <row r="8" spans="3:7" ht="12.75">
      <c r="C8" t="s">
        <v>6</v>
      </c>
      <c r="F8" t="s">
        <v>6</v>
      </c>
      <c r="G8" t="s">
        <v>6</v>
      </c>
    </row>
    <row r="9" spans="9:13" ht="12.75">
      <c r="I9" t="s">
        <v>47</v>
      </c>
      <c r="J9">
        <v>1</v>
      </c>
      <c r="K9">
        <v>2</v>
      </c>
      <c r="L9">
        <v>3</v>
      </c>
      <c r="M9">
        <v>4</v>
      </c>
    </row>
    <row r="10" spans="9:10" ht="12.75">
      <c r="I10" t="s">
        <v>13</v>
      </c>
      <c r="J10" s="5" t="s">
        <v>159</v>
      </c>
    </row>
    <row r="11" spans="9:10" ht="12.75">
      <c r="I11" t="s">
        <v>14</v>
      </c>
      <c r="J11" t="s">
        <v>163</v>
      </c>
    </row>
    <row r="12" spans="9:10" ht="12.75">
      <c r="I12" t="s">
        <v>15</v>
      </c>
      <c r="J12" t="s">
        <v>164</v>
      </c>
    </row>
    <row r="13" spans="11:19" ht="12.75">
      <c r="K13" t="s">
        <v>6</v>
      </c>
      <c r="N13" t="s">
        <v>42</v>
      </c>
      <c r="P13" t="s">
        <v>56</v>
      </c>
      <c r="R13">
        <v>0.56</v>
      </c>
      <c r="S13" t="s">
        <v>43</v>
      </c>
    </row>
    <row r="14" spans="9:16" ht="12.75">
      <c r="I14" t="s">
        <v>18</v>
      </c>
      <c r="J14">
        <v>3.6</v>
      </c>
      <c r="N14" s="1">
        <f>SUM(J14:M14)</f>
        <v>3.6</v>
      </c>
      <c r="O14" t="s">
        <v>11</v>
      </c>
      <c r="P14" t="s">
        <v>6</v>
      </c>
    </row>
    <row r="15" spans="9:16" ht="12.75">
      <c r="I15" t="s">
        <v>16</v>
      </c>
      <c r="J15">
        <v>1.22</v>
      </c>
      <c r="N15" s="1">
        <f>AVERAGE(J15:M15)</f>
        <v>1.22</v>
      </c>
      <c r="O15" t="s">
        <v>11</v>
      </c>
      <c r="P15" t="s">
        <v>6</v>
      </c>
    </row>
    <row r="16" spans="9:15" ht="12.75">
      <c r="I16" t="s">
        <v>17</v>
      </c>
      <c r="J16">
        <v>0.375</v>
      </c>
      <c r="N16" s="1">
        <f>AVERAGE(J16:M16)</f>
        <v>0.375</v>
      </c>
      <c r="O16" t="s">
        <v>51</v>
      </c>
    </row>
    <row r="17" spans="9:16" ht="12.75">
      <c r="I17" t="s">
        <v>50</v>
      </c>
      <c r="J17">
        <v>101</v>
      </c>
      <c r="K17" t="s">
        <v>154</v>
      </c>
      <c r="N17" s="1">
        <f>SUM(J17:M17)</f>
        <v>101</v>
      </c>
      <c r="O17" t="s">
        <v>23</v>
      </c>
      <c r="P17" t="s">
        <v>6</v>
      </c>
    </row>
    <row r="18" spans="9:15" ht="12.75">
      <c r="I18" t="s">
        <v>37</v>
      </c>
      <c r="J18">
        <f>(J15-J16)/2</f>
        <v>0.4225</v>
      </c>
      <c r="M18">
        <f>(M15-M16)/2</f>
        <v>0</v>
      </c>
      <c r="N18" s="1">
        <f>AVERAGE(J18:J18)</f>
        <v>0.4225</v>
      </c>
      <c r="O18" t="s">
        <v>11</v>
      </c>
    </row>
    <row r="19" spans="9:15" ht="12.75">
      <c r="I19" t="s">
        <v>41</v>
      </c>
      <c r="J19">
        <v>102.2</v>
      </c>
      <c r="K19" t="s">
        <v>153</v>
      </c>
      <c r="M19">
        <f>M17-(R13*M14)</f>
        <v>0</v>
      </c>
      <c r="N19" s="1">
        <f>SUM(J19:M19)</f>
        <v>102.2</v>
      </c>
      <c r="O19" t="s">
        <v>23</v>
      </c>
    </row>
    <row r="21" ht="12.75">
      <c r="I21" t="s">
        <v>9</v>
      </c>
    </row>
    <row r="22" spans="9:12" ht="12.75">
      <c r="I22" t="s">
        <v>19</v>
      </c>
      <c r="J22" s="1">
        <v>0.304</v>
      </c>
      <c r="K22" t="s">
        <v>11</v>
      </c>
      <c r="L22" t="s">
        <v>155</v>
      </c>
    </row>
    <row r="23" spans="9:11" ht="12.75">
      <c r="I23" t="s">
        <v>20</v>
      </c>
      <c r="J23">
        <v>0.304</v>
      </c>
      <c r="K23" t="s">
        <v>11</v>
      </c>
    </row>
    <row r="24" spans="9:13" ht="12.75">
      <c r="I24" t="s">
        <v>39</v>
      </c>
      <c r="J24" s="1">
        <f>J23-J22</f>
        <v>0</v>
      </c>
      <c r="K24" t="s">
        <v>11</v>
      </c>
      <c r="L24">
        <f>(J24/J22)*100</f>
        <v>0</v>
      </c>
      <c r="M24" t="s">
        <v>78</v>
      </c>
    </row>
    <row r="26" spans="10:11" ht="12.75">
      <c r="J26" t="s">
        <v>21</v>
      </c>
      <c r="K26" t="s">
        <v>166</v>
      </c>
    </row>
    <row r="27" spans="9:14" ht="12.75">
      <c r="I27" t="s">
        <v>8</v>
      </c>
      <c r="J27">
        <v>278</v>
      </c>
      <c r="K27">
        <v>1100</v>
      </c>
      <c r="M27" t="s">
        <v>75</v>
      </c>
      <c r="N27" t="s">
        <v>44</v>
      </c>
    </row>
    <row r="28" spans="9:15" ht="12.75">
      <c r="I28" t="s">
        <v>22</v>
      </c>
      <c r="J28">
        <v>278</v>
      </c>
      <c r="K28">
        <v>1100</v>
      </c>
      <c r="M28" t="s">
        <v>75</v>
      </c>
      <c r="N28" t="s">
        <v>33</v>
      </c>
      <c r="O28">
        <f>((J22/2)^2)*PI()</f>
        <v>0.07258335666853857</v>
      </c>
    </row>
    <row r="29" spans="9:15" ht="12.75">
      <c r="I29" t="s">
        <v>10</v>
      </c>
      <c r="J29">
        <v>190</v>
      </c>
      <c r="K29">
        <v>600</v>
      </c>
      <c r="M29" t="s">
        <v>75</v>
      </c>
      <c r="N29" t="s">
        <v>35</v>
      </c>
      <c r="O29">
        <f>B32/O28</f>
        <v>1470.9692651108649</v>
      </c>
    </row>
    <row r="30" spans="9:14" ht="12.75">
      <c r="I30" t="s">
        <v>36</v>
      </c>
      <c r="J30">
        <f>(N18/B34)/2</f>
        <v>0.6851351351351351</v>
      </c>
      <c r="K30" t="s">
        <v>38</v>
      </c>
      <c r="N30" t="s">
        <v>45</v>
      </c>
    </row>
    <row r="31" ht="12.75">
      <c r="L31" t="s">
        <v>76</v>
      </c>
    </row>
    <row r="32" spans="1:3" ht="12.75">
      <c r="A32" t="s">
        <v>12</v>
      </c>
      <c r="B32" s="1">
        <f>MAX(Data!B10:B500)</f>
        <v>106.76788681799998</v>
      </c>
      <c r="C32" t="s">
        <v>30</v>
      </c>
    </row>
    <row r="33" spans="1:7" ht="12.75">
      <c r="A33" t="s">
        <v>2</v>
      </c>
      <c r="B33" s="1">
        <f>AVERAGE(Data!B70:B144)</f>
        <v>85.01806826168398</v>
      </c>
      <c r="C33" t="s">
        <v>27</v>
      </c>
      <c r="G33" t="s">
        <v>6</v>
      </c>
    </row>
    <row r="34" spans="1:3" ht="12.75">
      <c r="A34" t="s">
        <v>0</v>
      </c>
      <c r="B34" s="2">
        <f>(144-70)/240</f>
        <v>0.30833333333333335</v>
      </c>
      <c r="C34" t="s">
        <v>31</v>
      </c>
    </row>
    <row r="35" spans="1:6" ht="12.75">
      <c r="A35" t="s">
        <v>3</v>
      </c>
      <c r="B35" s="2">
        <f>((SUM(Data!B70:B144))/240)</f>
        <v>26.56814633177624</v>
      </c>
      <c r="C35" t="s">
        <v>4</v>
      </c>
      <c r="F35" t="s">
        <v>6</v>
      </c>
    </row>
    <row r="36" spans="1:9" ht="12.75">
      <c r="A36" t="s">
        <v>3</v>
      </c>
      <c r="B36" s="2">
        <f>B35*4.448</f>
        <v>118.17511488374073</v>
      </c>
      <c r="C36" t="s">
        <v>5</v>
      </c>
      <c r="I36" s="3"/>
    </row>
    <row r="37" spans="1:8" ht="12.75">
      <c r="A37" t="s">
        <v>68</v>
      </c>
      <c r="B37" s="1">
        <f>(N19)/1000</f>
        <v>0.1022</v>
      </c>
      <c r="C37" t="s">
        <v>49</v>
      </c>
      <c r="H37" t="s">
        <v>169</v>
      </c>
    </row>
    <row r="38" spans="1:8" ht="12.75">
      <c r="A38" t="s">
        <v>68</v>
      </c>
      <c r="B38" s="3">
        <f>B37/453.54*1000</f>
        <v>0.2253384486484103</v>
      </c>
      <c r="C38" t="s">
        <v>7</v>
      </c>
      <c r="H38" t="s">
        <v>170</v>
      </c>
    </row>
    <row r="39" spans="1:3" ht="12.75">
      <c r="A39" t="s">
        <v>101</v>
      </c>
      <c r="B39" s="2">
        <f>(B36/B37)/9.8</f>
        <v>117.99104884753856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0.82</v>
      </c>
      <c r="J43">
        <f aca="true" t="shared" si="0" ref="J43:J48">(I43)/H43</f>
        <v>0.05466666666666666</v>
      </c>
      <c r="K43">
        <f aca="true" t="shared" si="1" ref="K43:K48">1/J43</f>
        <v>18.29268292682927</v>
      </c>
    </row>
    <row r="44" spans="1:11" ht="12.75">
      <c r="A44" t="s">
        <v>29</v>
      </c>
      <c r="H44">
        <v>30</v>
      </c>
      <c r="I44" s="3">
        <v>1.532</v>
      </c>
      <c r="J44">
        <f t="shared" si="0"/>
        <v>0.05106666666666667</v>
      </c>
      <c r="K44">
        <f t="shared" si="1"/>
        <v>19.582245430809397</v>
      </c>
    </row>
    <row r="45" spans="1:11" ht="12.75">
      <c r="A45" t="s">
        <v>32</v>
      </c>
      <c r="H45">
        <v>45</v>
      </c>
      <c r="I45" s="3">
        <v>2.227</v>
      </c>
      <c r="J45">
        <f t="shared" si="0"/>
        <v>0.04948888888888889</v>
      </c>
      <c r="K45">
        <f t="shared" si="1"/>
        <v>20.20655590480467</v>
      </c>
    </row>
    <row r="46" spans="8:11" ht="12.75">
      <c r="H46">
        <v>60</v>
      </c>
      <c r="I46" s="3">
        <v>3.027</v>
      </c>
      <c r="J46">
        <f t="shared" si="0"/>
        <v>0.05045</v>
      </c>
      <c r="K46">
        <f t="shared" si="1"/>
        <v>19.821605550049554</v>
      </c>
    </row>
    <row r="47" spans="1:11" ht="12.75">
      <c r="A47" t="s">
        <v>6</v>
      </c>
      <c r="G47" t="s">
        <v>6</v>
      </c>
      <c r="H47">
        <v>75</v>
      </c>
      <c r="I47" s="3">
        <v>3.789</v>
      </c>
      <c r="J47">
        <f t="shared" si="0"/>
        <v>0.05052</v>
      </c>
      <c r="K47">
        <f t="shared" si="1"/>
        <v>19.79414093428345</v>
      </c>
    </row>
    <row r="48" spans="8:11" ht="12.75">
      <c r="H48">
        <v>90</v>
      </c>
      <c r="I48" s="3">
        <v>4.629</v>
      </c>
      <c r="J48">
        <f t="shared" si="0"/>
        <v>0.05143333333333333</v>
      </c>
      <c r="K48">
        <f t="shared" si="1"/>
        <v>19.44264419961115</v>
      </c>
    </row>
    <row r="49" ht="12.75">
      <c r="I49" s="3"/>
    </row>
    <row r="50" spans="1:9" ht="12.75">
      <c r="A50" t="s">
        <v>77</v>
      </c>
      <c r="I50" s="3"/>
    </row>
    <row r="51" spans="1:9" ht="12.75">
      <c r="A51" t="s">
        <v>100</v>
      </c>
      <c r="B51">
        <v>42.075</v>
      </c>
      <c r="C51" t="s">
        <v>54</v>
      </c>
      <c r="D51">
        <f>B52-B51</f>
        <v>0.5</v>
      </c>
      <c r="E51" t="s">
        <v>55</v>
      </c>
      <c r="I51" s="3"/>
    </row>
    <row r="52" spans="1:11" ht="12.75">
      <c r="A52" t="s">
        <v>52</v>
      </c>
      <c r="B52">
        <v>42.575</v>
      </c>
      <c r="I52" s="7" t="s">
        <v>66</v>
      </c>
      <c r="J52">
        <f>AVERAGE(J44:J50)</f>
        <v>0.05059177777777778</v>
      </c>
      <c r="K52">
        <f>AVERAGE(K43:K48)</f>
        <v>19.523312491064583</v>
      </c>
    </row>
    <row r="53" spans="1:11" ht="12.75">
      <c r="A53" t="s">
        <v>74</v>
      </c>
      <c r="B53">
        <v>42.575</v>
      </c>
      <c r="K53" t="s">
        <v>69</v>
      </c>
    </row>
    <row r="54" spans="1:11" ht="12.75">
      <c r="A54" t="s">
        <v>53</v>
      </c>
      <c r="B54">
        <v>42.876</v>
      </c>
      <c r="C54" t="s">
        <v>0</v>
      </c>
      <c r="D54">
        <f>B54-B52</f>
        <v>0.3009999999999948</v>
      </c>
      <c r="E54" t="s">
        <v>55</v>
      </c>
      <c r="K54" t="s">
        <v>70</v>
      </c>
    </row>
    <row r="55" spans="1:5" ht="12.75">
      <c r="A55" t="s">
        <v>6</v>
      </c>
      <c r="B55" t="s">
        <v>6</v>
      </c>
      <c r="C55" t="s">
        <v>6</v>
      </c>
      <c r="D55" t="s">
        <v>6</v>
      </c>
      <c r="E55" t="s">
        <v>6</v>
      </c>
    </row>
    <row r="58" ht="12.75">
      <c r="D58" s="2"/>
    </row>
    <row r="59" ht="12.75">
      <c r="A59" t="s">
        <v>71</v>
      </c>
    </row>
    <row r="60" ht="12.75">
      <c r="A60" s="8">
        <v>39103</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168</v>
      </c>
    </row>
    <row r="9" spans="1:5" ht="12.75">
      <c r="A9" t="s">
        <v>24</v>
      </c>
      <c r="B9" t="s">
        <v>28</v>
      </c>
      <c r="D9" t="s">
        <v>34</v>
      </c>
      <c r="E9" t="s">
        <v>40</v>
      </c>
    </row>
    <row r="10" spans="1:5" ht="12.75">
      <c r="A10" s="1">
        <v>0.039063</v>
      </c>
      <c r="B10" s="1">
        <f>(A10*19.52331)-0.7626</f>
        <v>3.905852999996906E-05</v>
      </c>
      <c r="C10" t="s">
        <v>6</v>
      </c>
      <c r="D10" s="20">
        <f>MAX(B10:B384)</f>
        <v>106.76788681799998</v>
      </c>
      <c r="E10">
        <f>D10/10</f>
        <v>10.676788681799998</v>
      </c>
    </row>
    <row r="11" spans="1:3" ht="12.75">
      <c r="A11" s="1">
        <v>0.058594</v>
      </c>
      <c r="B11" s="1">
        <f aca="true" t="shared" si="0" ref="B11:B74">(A11*19.52331)-0.7626</f>
        <v>0.38134882614</v>
      </c>
      <c r="C11" t="s">
        <v>6</v>
      </c>
    </row>
    <row r="12" spans="1:2" ht="12.75">
      <c r="A12" s="1">
        <v>0.058594</v>
      </c>
      <c r="B12" s="1">
        <f t="shared" si="0"/>
        <v>0.38134882614</v>
      </c>
    </row>
    <row r="13" spans="1:4" ht="12.75">
      <c r="A13" s="1">
        <v>0.058594</v>
      </c>
      <c r="B13" s="1">
        <f t="shared" si="0"/>
        <v>0.38134882614</v>
      </c>
      <c r="D13" t="s">
        <v>6</v>
      </c>
    </row>
    <row r="14" spans="1:4" ht="12.75">
      <c r="A14" s="1">
        <v>0.019531</v>
      </c>
      <c r="B14" s="1">
        <f t="shared" si="0"/>
        <v>-0.38129023239</v>
      </c>
      <c r="D14" t="s">
        <v>6</v>
      </c>
    </row>
    <row r="15" spans="1:4" ht="12.75">
      <c r="A15" s="1">
        <v>0.058594</v>
      </c>
      <c r="B15" s="1">
        <f t="shared" si="0"/>
        <v>0.38134882614</v>
      </c>
      <c r="D15" t="s">
        <v>6</v>
      </c>
    </row>
    <row r="16" spans="1:2" ht="12.75">
      <c r="A16" s="1">
        <v>0.019531</v>
      </c>
      <c r="B16" s="1">
        <f t="shared" si="0"/>
        <v>-0.38129023239</v>
      </c>
    </row>
    <row r="17" spans="1:2" ht="12.75">
      <c r="A17" s="1">
        <v>0.058594</v>
      </c>
      <c r="B17" s="1">
        <f t="shared" si="0"/>
        <v>0.38134882614</v>
      </c>
    </row>
    <row r="18" spans="1:2" ht="12.75">
      <c r="A18" s="1">
        <v>0.019531</v>
      </c>
      <c r="B18" s="1">
        <f t="shared" si="0"/>
        <v>-0.38129023239</v>
      </c>
    </row>
    <row r="19" spans="1:2" ht="12.75">
      <c r="A19" s="1">
        <v>0.039063</v>
      </c>
      <c r="B19" s="1">
        <f t="shared" si="0"/>
        <v>3.905852999996906E-05</v>
      </c>
    </row>
    <row r="20" spans="1:2" ht="12.75">
      <c r="A20" s="1">
        <v>0.039063</v>
      </c>
      <c r="B20" s="1">
        <f t="shared" si="0"/>
        <v>3.905852999996906E-05</v>
      </c>
    </row>
    <row r="21" spans="1:2" ht="12.75">
      <c r="A21" s="1">
        <v>0.039063</v>
      </c>
      <c r="B21" s="1">
        <f t="shared" si="0"/>
        <v>3.905852999996906E-05</v>
      </c>
    </row>
    <row r="22" spans="1:2" ht="12.75">
      <c r="A22" s="1">
        <v>0.039063</v>
      </c>
      <c r="B22" s="1">
        <f t="shared" si="0"/>
        <v>3.905852999996906E-05</v>
      </c>
    </row>
    <row r="23" spans="1:3" ht="12.75">
      <c r="A23" s="1">
        <v>0.039063</v>
      </c>
      <c r="B23" s="1">
        <f t="shared" si="0"/>
        <v>3.905852999996906E-05</v>
      </c>
      <c r="C23" t="s">
        <v>6</v>
      </c>
    </row>
    <row r="24" spans="1:2" ht="12.75">
      <c r="A24" s="1">
        <v>0.058594</v>
      </c>
      <c r="B24" s="1">
        <f t="shared" si="0"/>
        <v>0.38134882614</v>
      </c>
    </row>
    <row r="25" spans="1:2" ht="12.75">
      <c r="A25" s="1">
        <v>0.078125</v>
      </c>
      <c r="B25" s="1">
        <f t="shared" si="0"/>
        <v>0.7626585937499999</v>
      </c>
    </row>
    <row r="26" spans="1:2" ht="12.75">
      <c r="A26" s="1">
        <v>0.17578</v>
      </c>
      <c r="B26" s="1">
        <f t="shared" si="0"/>
        <v>2.6692074318</v>
      </c>
    </row>
    <row r="27" spans="1:2" ht="12.75">
      <c r="A27" s="1">
        <v>0.058594</v>
      </c>
      <c r="B27" s="1">
        <f t="shared" si="0"/>
        <v>0.38134882614</v>
      </c>
    </row>
    <row r="28" spans="1:2" ht="12.75">
      <c r="A28" s="1">
        <v>0</v>
      </c>
      <c r="B28" s="1">
        <f t="shared" si="0"/>
        <v>-0.7626</v>
      </c>
    </row>
    <row r="29" spans="1:2" ht="12.75">
      <c r="A29" s="1">
        <v>-0.019531</v>
      </c>
      <c r="B29" s="1">
        <f t="shared" si="0"/>
        <v>-1.1439097676099999</v>
      </c>
    </row>
    <row r="30" spans="1:2" ht="12.75">
      <c r="A30" s="1">
        <v>0.019531</v>
      </c>
      <c r="B30" s="1">
        <f t="shared" si="0"/>
        <v>-0.38129023239</v>
      </c>
    </row>
    <row r="31" spans="1:2" ht="12.75">
      <c r="A31" s="1">
        <v>0.019531</v>
      </c>
      <c r="B31" s="1">
        <f t="shared" si="0"/>
        <v>-0.38129023239</v>
      </c>
    </row>
    <row r="32" spans="1:2" ht="12.75">
      <c r="A32" s="1">
        <v>0.097656</v>
      </c>
      <c r="B32" s="1">
        <f t="shared" si="0"/>
        <v>1.14396836136</v>
      </c>
    </row>
    <row r="33" spans="1:2" ht="12.75">
      <c r="A33" s="1">
        <v>0.019531</v>
      </c>
      <c r="B33" s="1">
        <f t="shared" si="0"/>
        <v>-0.38129023239</v>
      </c>
    </row>
    <row r="34" spans="1:2" ht="12.75">
      <c r="A34" s="1">
        <v>0.039063</v>
      </c>
      <c r="B34" s="1">
        <f t="shared" si="0"/>
        <v>3.905852999996906E-05</v>
      </c>
    </row>
    <row r="35" spans="1:2" ht="12.75">
      <c r="A35" s="1">
        <v>0.039063</v>
      </c>
      <c r="B35" s="1">
        <f t="shared" si="0"/>
        <v>3.905852999996906E-05</v>
      </c>
    </row>
    <row r="36" spans="1:2" ht="12.75">
      <c r="A36" s="1">
        <v>0.039063</v>
      </c>
      <c r="B36" s="1">
        <f t="shared" si="0"/>
        <v>3.905852999996906E-05</v>
      </c>
    </row>
    <row r="37" spans="1:2" ht="12.75">
      <c r="A37" s="1">
        <v>0.039063</v>
      </c>
      <c r="B37" s="1">
        <f t="shared" si="0"/>
        <v>3.905852999996906E-05</v>
      </c>
    </row>
    <row r="38" spans="1:2" ht="12.75">
      <c r="A38" s="1">
        <v>0.039063</v>
      </c>
      <c r="B38" s="1">
        <f t="shared" si="0"/>
        <v>3.905852999996906E-05</v>
      </c>
    </row>
    <row r="39" spans="1:2" ht="12.75">
      <c r="A39" s="1">
        <v>0.039063</v>
      </c>
      <c r="B39" s="1">
        <f t="shared" si="0"/>
        <v>3.905852999996906E-05</v>
      </c>
    </row>
    <row r="40" spans="1:2" ht="12.75">
      <c r="A40" s="1">
        <v>0.039063</v>
      </c>
      <c r="B40" s="1">
        <f t="shared" si="0"/>
        <v>3.905852999996906E-05</v>
      </c>
    </row>
    <row r="41" spans="1:2" ht="12.75">
      <c r="A41" s="1">
        <v>0.039063</v>
      </c>
      <c r="B41" s="1">
        <f t="shared" si="0"/>
        <v>3.905852999996906E-05</v>
      </c>
    </row>
    <row r="42" spans="1:2" ht="12.75">
      <c r="A42" s="1">
        <v>0.039063</v>
      </c>
      <c r="B42" s="1">
        <f t="shared" si="0"/>
        <v>3.905852999996906E-05</v>
      </c>
    </row>
    <row r="43" spans="1:2" ht="12.75">
      <c r="A43" s="1">
        <v>0.039063</v>
      </c>
      <c r="B43" s="1">
        <f t="shared" si="0"/>
        <v>3.905852999996906E-05</v>
      </c>
    </row>
    <row r="44" spans="1:2" ht="12.75">
      <c r="A44" s="1">
        <v>0.039063</v>
      </c>
      <c r="B44" s="1">
        <f t="shared" si="0"/>
        <v>3.905852999996906E-05</v>
      </c>
    </row>
    <row r="45" spans="1:2" ht="12.75">
      <c r="A45" s="1">
        <v>0.039063</v>
      </c>
      <c r="B45" s="1">
        <f t="shared" si="0"/>
        <v>3.905852999996906E-05</v>
      </c>
    </row>
    <row r="46" spans="1:2" ht="12.75">
      <c r="A46" s="1">
        <v>0.039063</v>
      </c>
      <c r="B46" s="1">
        <f t="shared" si="0"/>
        <v>3.905852999996906E-05</v>
      </c>
    </row>
    <row r="47" spans="1:2" ht="12.75">
      <c r="A47" s="1">
        <v>0.039063</v>
      </c>
      <c r="B47" s="1">
        <f t="shared" si="0"/>
        <v>3.905852999996906E-05</v>
      </c>
    </row>
    <row r="48" spans="1:2" ht="12.75">
      <c r="A48" s="1">
        <v>0.058594</v>
      </c>
      <c r="B48" s="1">
        <f t="shared" si="0"/>
        <v>0.38134882614</v>
      </c>
    </row>
    <row r="49" spans="1:2" ht="12.75">
      <c r="A49" s="1">
        <v>0.058594</v>
      </c>
      <c r="B49" s="1">
        <f t="shared" si="0"/>
        <v>0.38134882614</v>
      </c>
    </row>
    <row r="50" spans="1:2" ht="12.75">
      <c r="A50" s="1">
        <v>0.058594</v>
      </c>
      <c r="B50" s="1">
        <f t="shared" si="0"/>
        <v>0.38134882614</v>
      </c>
    </row>
    <row r="51" spans="1:2" ht="12.75">
      <c r="A51" s="1">
        <v>0.078125</v>
      </c>
      <c r="B51" s="1">
        <f t="shared" si="0"/>
        <v>0.7626585937499999</v>
      </c>
    </row>
    <row r="52" spans="1:2" ht="12.75">
      <c r="A52" s="1">
        <v>0.097656</v>
      </c>
      <c r="B52" s="1">
        <f t="shared" si="0"/>
        <v>1.14396836136</v>
      </c>
    </row>
    <row r="53" spans="1:2" ht="12.75">
      <c r="A53" s="1">
        <v>0.097656</v>
      </c>
      <c r="B53" s="1">
        <f t="shared" si="0"/>
        <v>1.14396836136</v>
      </c>
    </row>
    <row r="54" spans="1:2" ht="12.75">
      <c r="A54" s="1">
        <v>0.078125</v>
      </c>
      <c r="B54" s="1">
        <f t="shared" si="0"/>
        <v>0.7626585937499999</v>
      </c>
    </row>
    <row r="55" spans="1:2" ht="12.75">
      <c r="A55" s="1">
        <v>0.078125</v>
      </c>
      <c r="B55" s="1">
        <f t="shared" si="0"/>
        <v>0.7626585937499999</v>
      </c>
    </row>
    <row r="56" spans="1:2" ht="12.75">
      <c r="A56" s="1">
        <v>0.097656</v>
      </c>
      <c r="B56" s="1">
        <f t="shared" si="0"/>
        <v>1.14396836136</v>
      </c>
    </row>
    <row r="57" spans="1:2" ht="12.75">
      <c r="A57" s="1">
        <v>0.097656</v>
      </c>
      <c r="B57" s="1">
        <f t="shared" si="0"/>
        <v>1.14396836136</v>
      </c>
    </row>
    <row r="58" spans="1:2" ht="12.75">
      <c r="A58" s="1">
        <v>0.097656</v>
      </c>
      <c r="B58" s="1">
        <f t="shared" si="0"/>
        <v>1.14396836136</v>
      </c>
    </row>
    <row r="59" spans="1:2" ht="12.75">
      <c r="A59" s="1">
        <v>0.097656</v>
      </c>
      <c r="B59" s="1">
        <f t="shared" si="0"/>
        <v>1.14396836136</v>
      </c>
    </row>
    <row r="60" spans="1:2" ht="12.75">
      <c r="A60" s="1">
        <v>0.097656</v>
      </c>
      <c r="B60" s="1">
        <f t="shared" si="0"/>
        <v>1.14396836136</v>
      </c>
    </row>
    <row r="61" spans="1:2" ht="12.75">
      <c r="A61" s="1">
        <v>0.097656</v>
      </c>
      <c r="B61" s="1">
        <f t="shared" si="0"/>
        <v>1.14396836136</v>
      </c>
    </row>
    <row r="62" spans="1:2" ht="12.75">
      <c r="A62" s="1">
        <v>0.11719</v>
      </c>
      <c r="B62" s="1">
        <f t="shared" si="0"/>
        <v>1.5253366989</v>
      </c>
    </row>
    <row r="63" spans="1:2" ht="12.75">
      <c r="A63" s="1">
        <v>0.11719</v>
      </c>
      <c r="B63" s="1">
        <f t="shared" si="0"/>
        <v>1.5253366989</v>
      </c>
    </row>
    <row r="64" spans="1:2" ht="12.75">
      <c r="A64" s="1">
        <v>0.13672</v>
      </c>
      <c r="B64" s="1">
        <f t="shared" si="0"/>
        <v>1.9066269432</v>
      </c>
    </row>
    <row r="65" spans="1:2" ht="12.75">
      <c r="A65" s="1">
        <v>0.13672</v>
      </c>
      <c r="B65" s="1">
        <f t="shared" si="0"/>
        <v>1.9066269432</v>
      </c>
    </row>
    <row r="66" spans="1:2" ht="12.75">
      <c r="A66" s="1">
        <v>0.17578</v>
      </c>
      <c r="B66" s="1">
        <f t="shared" si="0"/>
        <v>2.6692074318</v>
      </c>
    </row>
    <row r="67" spans="1:2" ht="12.75">
      <c r="A67" s="1">
        <v>0.25391</v>
      </c>
      <c r="B67" s="1">
        <f t="shared" si="0"/>
        <v>4.1945636421</v>
      </c>
    </row>
    <row r="68" spans="1:2" ht="12.75">
      <c r="A68" s="1">
        <v>0.33203</v>
      </c>
      <c r="B68" s="1">
        <f t="shared" si="0"/>
        <v>5.719724619299999</v>
      </c>
    </row>
    <row r="69" spans="1:2" ht="12.75">
      <c r="A69" s="1">
        <v>0.42969</v>
      </c>
      <c r="B69" s="1">
        <f t="shared" si="0"/>
        <v>7.626371073900001</v>
      </c>
    </row>
    <row r="70" spans="1:3" ht="12.75">
      <c r="A70" s="1">
        <v>0.58594</v>
      </c>
      <c r="B70" s="1">
        <f t="shared" si="0"/>
        <v>10.676888261399998</v>
      </c>
      <c r="C70" s="1" t="s">
        <v>48</v>
      </c>
    </row>
    <row r="71" spans="1:2" ht="12.75">
      <c r="A71" s="1">
        <v>0.91797</v>
      </c>
      <c r="B71" s="1">
        <f t="shared" si="0"/>
        <v>17.1592128807</v>
      </c>
    </row>
    <row r="72" spans="1:2" ht="12.75">
      <c r="A72" s="1">
        <v>1.5039</v>
      </c>
      <c r="B72" s="1">
        <f t="shared" si="0"/>
        <v>28.598505909</v>
      </c>
    </row>
    <row r="73" spans="1:2" ht="12.75">
      <c r="A73" s="1">
        <v>2.3242</v>
      </c>
      <c r="B73" s="1">
        <f t="shared" si="0"/>
        <v>44.613477102</v>
      </c>
    </row>
    <row r="74" spans="1:2" ht="12.75">
      <c r="A74" s="1">
        <v>3.1836</v>
      </c>
      <c r="B74" s="1">
        <f t="shared" si="0"/>
        <v>61.391809716</v>
      </c>
    </row>
    <row r="75" spans="1:2" ht="12.75">
      <c r="A75" s="1">
        <v>3.8867</v>
      </c>
      <c r="B75" s="1">
        <f aca="true" t="shared" si="1" ref="B75:B138">(A75*19.52331)-0.7626</f>
        <v>75.11864897699998</v>
      </c>
    </row>
    <row r="76" spans="1:2" ht="12.75">
      <c r="A76" s="1">
        <v>4.1797</v>
      </c>
      <c r="B76" s="1">
        <f t="shared" si="1"/>
        <v>80.83897880699999</v>
      </c>
    </row>
    <row r="77" spans="1:2" ht="12.75">
      <c r="A77" s="1">
        <v>4.3945</v>
      </c>
      <c r="B77" s="1">
        <f t="shared" si="1"/>
        <v>85.03258579499999</v>
      </c>
    </row>
    <row r="78" spans="1:2" ht="12.75">
      <c r="A78" s="1">
        <v>4.668</v>
      </c>
      <c r="B78" s="1">
        <f t="shared" si="1"/>
        <v>90.37221107999999</v>
      </c>
    </row>
    <row r="79" spans="1:2" ht="12.75">
      <c r="A79" s="1">
        <v>4.7656</v>
      </c>
      <c r="B79" s="1">
        <f t="shared" si="1"/>
        <v>92.27768613599999</v>
      </c>
    </row>
    <row r="80" spans="1:2" ht="12.75">
      <c r="A80" s="1">
        <v>4.8047</v>
      </c>
      <c r="B80" s="1">
        <f t="shared" si="1"/>
        <v>93.041047557</v>
      </c>
    </row>
    <row r="81" spans="1:2" ht="12.75">
      <c r="A81" s="1">
        <v>4.8633</v>
      </c>
      <c r="B81" s="1">
        <f t="shared" si="1"/>
        <v>94.18511352299998</v>
      </c>
    </row>
    <row r="82" spans="1:2" ht="12.75">
      <c r="A82" s="1">
        <v>5</v>
      </c>
      <c r="B82" s="1">
        <f t="shared" si="1"/>
        <v>96.85394999999998</v>
      </c>
    </row>
    <row r="83" spans="1:2" ht="12.75">
      <c r="A83" s="1">
        <v>5.2148</v>
      </c>
      <c r="B83" s="1">
        <f t="shared" si="1"/>
        <v>101.047556988</v>
      </c>
    </row>
    <row r="84" spans="1:2" ht="12.75">
      <c r="A84" s="1">
        <v>5.4102</v>
      </c>
      <c r="B84" s="1">
        <f t="shared" si="1"/>
        <v>104.86241176199998</v>
      </c>
    </row>
    <row r="85" spans="1:2" ht="12.75">
      <c r="A85" s="1">
        <v>5.5078</v>
      </c>
      <c r="B85" s="1">
        <f t="shared" si="1"/>
        <v>106.76788681799998</v>
      </c>
    </row>
    <row r="86" spans="1:2" ht="12.75">
      <c r="A86" s="1">
        <v>5.5078</v>
      </c>
      <c r="B86" s="1">
        <f t="shared" si="1"/>
        <v>106.76788681799998</v>
      </c>
    </row>
    <row r="87" spans="1:2" ht="12.75">
      <c r="A87" s="1">
        <v>5.4883</v>
      </c>
      <c r="B87" s="1">
        <f t="shared" si="1"/>
        <v>106.38718227299998</v>
      </c>
    </row>
    <row r="88" spans="1:2" ht="12.75">
      <c r="A88" s="1">
        <v>5.4883</v>
      </c>
      <c r="B88" s="1">
        <f t="shared" si="1"/>
        <v>106.38718227299998</v>
      </c>
    </row>
    <row r="89" spans="1:2" ht="12.75">
      <c r="A89" s="1">
        <v>5.4883</v>
      </c>
      <c r="B89" s="1">
        <f t="shared" si="1"/>
        <v>106.38718227299998</v>
      </c>
    </row>
    <row r="90" spans="1:2" ht="12.75">
      <c r="A90" s="1">
        <v>5.4688</v>
      </c>
      <c r="B90" s="1">
        <f t="shared" si="1"/>
        <v>106.00647772799998</v>
      </c>
    </row>
    <row r="91" spans="1:2" ht="12.75">
      <c r="A91" s="1">
        <v>5.4688</v>
      </c>
      <c r="B91" s="1">
        <f t="shared" si="1"/>
        <v>106.00647772799998</v>
      </c>
    </row>
    <row r="92" spans="1:2" ht="12.75">
      <c r="A92" s="1">
        <v>5.4883</v>
      </c>
      <c r="B92" s="1">
        <f t="shared" si="1"/>
        <v>106.38718227299998</v>
      </c>
    </row>
    <row r="93" spans="1:2" ht="12.75">
      <c r="A93" s="1">
        <v>5.4883</v>
      </c>
      <c r="B93" s="1">
        <f t="shared" si="1"/>
        <v>106.38718227299998</v>
      </c>
    </row>
    <row r="94" spans="1:2" ht="12.75">
      <c r="A94" s="1">
        <v>5.4883</v>
      </c>
      <c r="B94" s="1">
        <f t="shared" si="1"/>
        <v>106.38718227299998</v>
      </c>
    </row>
    <row r="95" spans="1:2" ht="12.75">
      <c r="A95" s="1">
        <v>5.4883</v>
      </c>
      <c r="B95" s="1">
        <f t="shared" si="1"/>
        <v>106.38718227299998</v>
      </c>
    </row>
    <row r="96" spans="1:2" ht="12.75">
      <c r="A96" s="1">
        <v>5.4883</v>
      </c>
      <c r="B96" s="1">
        <f t="shared" si="1"/>
        <v>106.38718227299998</v>
      </c>
    </row>
    <row r="97" spans="1:2" ht="12.75">
      <c r="A97" s="1">
        <v>5.4883</v>
      </c>
      <c r="B97" s="1">
        <f t="shared" si="1"/>
        <v>106.38718227299998</v>
      </c>
    </row>
    <row r="98" spans="1:2" ht="12.75">
      <c r="A98" s="1">
        <v>5.4883</v>
      </c>
      <c r="B98" s="1">
        <f t="shared" si="1"/>
        <v>106.38718227299998</v>
      </c>
    </row>
    <row r="99" spans="1:2" ht="12.75">
      <c r="A99" s="1">
        <v>5.4883</v>
      </c>
      <c r="B99" s="1">
        <f t="shared" si="1"/>
        <v>106.38718227299998</v>
      </c>
    </row>
    <row r="100" spans="1:2" ht="12.75">
      <c r="A100" s="1">
        <v>5.4883</v>
      </c>
      <c r="B100" s="1">
        <f t="shared" si="1"/>
        <v>106.38718227299998</v>
      </c>
    </row>
    <row r="101" spans="1:2" ht="12.75">
      <c r="A101" s="1">
        <v>5.4883</v>
      </c>
      <c r="B101" s="1">
        <f t="shared" si="1"/>
        <v>106.38718227299998</v>
      </c>
    </row>
    <row r="102" spans="1:2" ht="12.75">
      <c r="A102" s="1">
        <v>5.4883</v>
      </c>
      <c r="B102" s="1">
        <f t="shared" si="1"/>
        <v>106.38718227299998</v>
      </c>
    </row>
    <row r="103" spans="1:2" ht="12.75">
      <c r="A103" s="1">
        <v>5.4883</v>
      </c>
      <c r="B103" s="1">
        <f t="shared" si="1"/>
        <v>106.38718227299998</v>
      </c>
    </row>
    <row r="104" spans="1:2" ht="12.75">
      <c r="A104" s="1">
        <v>5.4883</v>
      </c>
      <c r="B104" s="1">
        <f t="shared" si="1"/>
        <v>106.38718227299998</v>
      </c>
    </row>
    <row r="105" spans="1:2" ht="12.75">
      <c r="A105" s="1">
        <v>5.4883</v>
      </c>
      <c r="B105" s="1">
        <f t="shared" si="1"/>
        <v>106.38718227299998</v>
      </c>
    </row>
    <row r="106" spans="1:2" ht="12.75">
      <c r="A106" s="1">
        <v>5.4883</v>
      </c>
      <c r="B106" s="1">
        <f t="shared" si="1"/>
        <v>106.38718227299998</v>
      </c>
    </row>
    <row r="107" spans="1:2" ht="12.75">
      <c r="A107" s="1">
        <v>5.4883</v>
      </c>
      <c r="B107" s="1">
        <f t="shared" si="1"/>
        <v>106.38718227299998</v>
      </c>
    </row>
    <row r="108" spans="1:2" ht="12.75">
      <c r="A108" s="1">
        <v>5.4883</v>
      </c>
      <c r="B108" s="1">
        <f t="shared" si="1"/>
        <v>106.38718227299998</v>
      </c>
    </row>
    <row r="109" spans="1:2" ht="12.75">
      <c r="A109" s="1">
        <v>5.4883</v>
      </c>
      <c r="B109" s="1">
        <f t="shared" si="1"/>
        <v>106.38718227299998</v>
      </c>
    </row>
    <row r="110" spans="1:2" ht="12.75">
      <c r="A110" s="1">
        <v>5.4883</v>
      </c>
      <c r="B110" s="1">
        <f t="shared" si="1"/>
        <v>106.38718227299998</v>
      </c>
    </row>
    <row r="111" spans="1:2" ht="12.75">
      <c r="A111" s="1">
        <v>5.4688</v>
      </c>
      <c r="B111" s="1">
        <f t="shared" si="1"/>
        <v>106.00647772799998</v>
      </c>
    </row>
    <row r="112" spans="1:2" ht="12.75">
      <c r="A112" s="1">
        <v>5.4492</v>
      </c>
      <c r="B112" s="1">
        <f t="shared" si="1"/>
        <v>105.623820852</v>
      </c>
    </row>
    <row r="113" spans="1:2" ht="12.75">
      <c r="A113" s="1">
        <v>5.4492</v>
      </c>
      <c r="B113" s="1">
        <f t="shared" si="1"/>
        <v>105.623820852</v>
      </c>
    </row>
    <row r="114" spans="1:2" ht="12.75">
      <c r="A114" s="1">
        <v>5.4492</v>
      </c>
      <c r="B114" s="1">
        <f t="shared" si="1"/>
        <v>105.623820852</v>
      </c>
    </row>
    <row r="115" spans="1:2" ht="12.75">
      <c r="A115" s="1">
        <v>5.4297</v>
      </c>
      <c r="B115" s="1">
        <f t="shared" si="1"/>
        <v>105.243116307</v>
      </c>
    </row>
    <row r="116" spans="1:2" ht="12.75">
      <c r="A116" s="1">
        <v>5.4297</v>
      </c>
      <c r="B116" s="1">
        <f t="shared" si="1"/>
        <v>105.243116307</v>
      </c>
    </row>
    <row r="117" spans="1:2" ht="12.75">
      <c r="A117" s="1">
        <v>5.4102</v>
      </c>
      <c r="B117" s="1">
        <f t="shared" si="1"/>
        <v>104.86241176199998</v>
      </c>
    </row>
    <row r="118" spans="1:2" ht="12.75">
      <c r="A118" s="1">
        <v>5.4102</v>
      </c>
      <c r="B118" s="1">
        <f t="shared" si="1"/>
        <v>104.86241176199998</v>
      </c>
    </row>
    <row r="119" spans="1:2" ht="12.75">
      <c r="A119" s="1">
        <v>5.4102</v>
      </c>
      <c r="B119" s="1">
        <f t="shared" si="1"/>
        <v>104.86241176199998</v>
      </c>
    </row>
    <row r="120" spans="1:2" ht="12.75">
      <c r="A120" s="1">
        <v>5.3906</v>
      </c>
      <c r="B120" s="1">
        <f t="shared" si="1"/>
        <v>104.47975488599998</v>
      </c>
    </row>
    <row r="121" spans="1:2" ht="12.75">
      <c r="A121" s="1">
        <v>5.3711</v>
      </c>
      <c r="B121" s="1">
        <f t="shared" si="1"/>
        <v>104.099050341</v>
      </c>
    </row>
    <row r="122" spans="1:2" ht="12.75">
      <c r="A122" s="1">
        <v>5.3516</v>
      </c>
      <c r="B122" s="1">
        <f t="shared" si="1"/>
        <v>103.718345796</v>
      </c>
    </row>
    <row r="123" spans="1:2" ht="12.75">
      <c r="A123" s="1">
        <v>5.3125</v>
      </c>
      <c r="B123" s="1">
        <f t="shared" si="1"/>
        <v>102.95498437499998</v>
      </c>
    </row>
    <row r="124" spans="1:2" ht="12.75">
      <c r="A124" s="1">
        <v>5.2734</v>
      </c>
      <c r="B124" s="1">
        <f t="shared" si="1"/>
        <v>102.19162295399998</v>
      </c>
    </row>
    <row r="125" spans="1:2" ht="12.75">
      <c r="A125" s="1">
        <v>5.2344</v>
      </c>
      <c r="B125" s="1">
        <f t="shared" si="1"/>
        <v>101.43021386399998</v>
      </c>
    </row>
    <row r="126" spans="1:2" ht="12.75">
      <c r="A126" s="1">
        <v>5.1172</v>
      </c>
      <c r="B126" s="1">
        <f t="shared" si="1"/>
        <v>99.142081932</v>
      </c>
    </row>
    <row r="127" spans="1:2" ht="12.75">
      <c r="A127" s="1">
        <v>4.9414</v>
      </c>
      <c r="B127" s="1">
        <f t="shared" si="1"/>
        <v>95.70988403399998</v>
      </c>
    </row>
    <row r="128" spans="1:2" ht="12.75">
      <c r="A128" s="1">
        <v>4.6484</v>
      </c>
      <c r="B128" s="1">
        <f t="shared" si="1"/>
        <v>89.98955420399999</v>
      </c>
    </row>
    <row r="129" spans="1:2" ht="12.75">
      <c r="A129" s="1">
        <v>4.3164</v>
      </c>
      <c r="B129" s="1">
        <f t="shared" si="1"/>
        <v>83.50781528399999</v>
      </c>
    </row>
    <row r="130" spans="1:2" ht="12.75">
      <c r="A130" s="1">
        <v>4.0039</v>
      </c>
      <c r="B130" s="1">
        <f t="shared" si="1"/>
        <v>77.40678090899999</v>
      </c>
    </row>
    <row r="131" spans="1:2" ht="12.75">
      <c r="A131" s="1">
        <v>3.7109</v>
      </c>
      <c r="B131" s="1">
        <f t="shared" si="1"/>
        <v>71.686451079</v>
      </c>
    </row>
    <row r="132" spans="1:2" ht="12.75">
      <c r="A132" s="1">
        <v>3.457</v>
      </c>
      <c r="B132" s="1">
        <f t="shared" si="1"/>
        <v>66.72948266999998</v>
      </c>
    </row>
    <row r="133" spans="1:2" ht="12.75">
      <c r="A133" s="1">
        <v>3.2031</v>
      </c>
      <c r="B133" s="1">
        <f t="shared" si="1"/>
        <v>61.772514261</v>
      </c>
    </row>
    <row r="134" spans="1:2" ht="12.75">
      <c r="A134" s="1">
        <v>2.9297</v>
      </c>
      <c r="B134" s="1">
        <f t="shared" si="1"/>
        <v>56.434841307</v>
      </c>
    </row>
    <row r="135" spans="1:2" ht="12.75">
      <c r="A135" s="1">
        <v>2.5977</v>
      </c>
      <c r="B135" s="1">
        <f t="shared" si="1"/>
        <v>49.953102387</v>
      </c>
    </row>
    <row r="136" spans="1:2" ht="12.75">
      <c r="A136" s="1">
        <v>2.2656</v>
      </c>
      <c r="B136" s="1">
        <f t="shared" si="1"/>
        <v>43.469411136</v>
      </c>
    </row>
    <row r="137" spans="1:2" ht="12.75">
      <c r="A137" s="1">
        <v>1.9141</v>
      </c>
      <c r="B137" s="1">
        <f t="shared" si="1"/>
        <v>36.606967671</v>
      </c>
    </row>
    <row r="138" spans="1:2" ht="12.75">
      <c r="A138" s="1">
        <v>1.6992</v>
      </c>
      <c r="B138" s="1">
        <f t="shared" si="1"/>
        <v>32.411408352</v>
      </c>
    </row>
    <row r="139" spans="1:2" ht="12.75">
      <c r="A139" s="1">
        <v>1.4453</v>
      </c>
      <c r="B139" s="1">
        <f aca="true" t="shared" si="2" ref="B139:B187">(A139*19.52331)-0.7626</f>
        <v>27.454439943</v>
      </c>
    </row>
    <row r="140" spans="1:2" ht="12.75">
      <c r="A140" s="1">
        <v>1.1523</v>
      </c>
      <c r="B140" s="1">
        <f t="shared" si="2"/>
        <v>21.734110113</v>
      </c>
    </row>
    <row r="141" spans="1:2" ht="12.75">
      <c r="A141" s="1">
        <v>0.9375</v>
      </c>
      <c r="B141" s="1">
        <f t="shared" si="2"/>
        <v>17.540503125</v>
      </c>
    </row>
    <row r="142" spans="1:2" ht="12.75">
      <c r="A142" s="1">
        <v>0.78125</v>
      </c>
      <c r="B142" s="1">
        <f t="shared" si="2"/>
        <v>14.489985937499998</v>
      </c>
    </row>
    <row r="143" spans="1:2" ht="12.75">
      <c r="A143" s="1">
        <v>0.64453</v>
      </c>
      <c r="B143" s="1">
        <f t="shared" si="2"/>
        <v>11.8207589943</v>
      </c>
    </row>
    <row r="144" spans="1:3" ht="12.75">
      <c r="A144" s="1">
        <v>0.52734</v>
      </c>
      <c r="B144" s="1">
        <f t="shared" si="2"/>
        <v>9.532822295399999</v>
      </c>
      <c r="C144" t="s">
        <v>158</v>
      </c>
    </row>
    <row r="145" spans="1:2" ht="12.75">
      <c r="A145" s="1">
        <v>0.44922</v>
      </c>
      <c r="B145" s="1">
        <f t="shared" si="2"/>
        <v>8.0076613182</v>
      </c>
    </row>
    <row r="146" spans="1:2" ht="12.75">
      <c r="A146" s="1">
        <v>0.37109</v>
      </c>
      <c r="B146" s="1">
        <f t="shared" si="2"/>
        <v>6.482305107899999</v>
      </c>
    </row>
    <row r="147" spans="1:2" ht="12.75">
      <c r="A147" s="1">
        <v>0.33203</v>
      </c>
      <c r="B147" s="1">
        <f t="shared" si="2"/>
        <v>5.719724619299999</v>
      </c>
    </row>
    <row r="148" spans="1:2" ht="12.75">
      <c r="A148" s="1">
        <v>0.3125</v>
      </c>
      <c r="B148" s="1">
        <f t="shared" si="2"/>
        <v>5.338434374999999</v>
      </c>
    </row>
    <row r="149" spans="1:2" ht="12.75">
      <c r="A149" s="1">
        <v>0.25391</v>
      </c>
      <c r="B149" s="1">
        <f t="shared" si="2"/>
        <v>4.1945636421</v>
      </c>
    </row>
    <row r="150" spans="1:2" ht="12.75">
      <c r="A150" s="1">
        <v>0.23438</v>
      </c>
      <c r="B150" s="1">
        <f t="shared" si="2"/>
        <v>3.8132733977999997</v>
      </c>
    </row>
    <row r="151" spans="1:2" ht="12.75">
      <c r="A151" s="1">
        <v>0.19531</v>
      </c>
      <c r="B151" s="1">
        <f t="shared" si="2"/>
        <v>3.0504976761</v>
      </c>
    </row>
    <row r="152" spans="1:2" ht="12.75">
      <c r="A152" s="1">
        <v>0.15625</v>
      </c>
      <c r="B152" s="1">
        <f t="shared" si="2"/>
        <v>2.2879171874999997</v>
      </c>
    </row>
    <row r="153" spans="1:2" ht="12.75">
      <c r="A153" s="1">
        <v>0.13672</v>
      </c>
      <c r="B153" s="1">
        <f t="shared" si="2"/>
        <v>1.9066269432</v>
      </c>
    </row>
    <row r="154" spans="1:2" ht="12.75">
      <c r="A154" s="1">
        <v>0.13672</v>
      </c>
      <c r="B154" s="1">
        <f t="shared" si="2"/>
        <v>1.9066269432</v>
      </c>
    </row>
    <row r="155" spans="1:2" ht="12.75">
      <c r="A155" s="1">
        <v>0.078125</v>
      </c>
      <c r="B155" s="1">
        <f t="shared" si="2"/>
        <v>0.7626585937499999</v>
      </c>
    </row>
    <row r="156" spans="1:2" ht="12.75">
      <c r="A156" s="1">
        <v>0.078125</v>
      </c>
      <c r="B156" s="1">
        <f t="shared" si="2"/>
        <v>0.7626585937499999</v>
      </c>
    </row>
    <row r="157" spans="1:2" ht="12.75">
      <c r="A157" s="1">
        <v>0.058594</v>
      </c>
      <c r="B157" s="1">
        <f t="shared" si="2"/>
        <v>0.38134882614</v>
      </c>
    </row>
    <row r="158" spans="1:2" ht="12.75">
      <c r="A158" s="1">
        <v>0.058594</v>
      </c>
      <c r="B158" s="1">
        <f t="shared" si="2"/>
        <v>0.38134882614</v>
      </c>
    </row>
    <row r="159" spans="1:2" ht="12.75">
      <c r="A159" s="1">
        <v>0.058594</v>
      </c>
      <c r="B159" s="1">
        <f t="shared" si="2"/>
        <v>0.38134882614</v>
      </c>
    </row>
    <row r="160" spans="1:2" ht="12.75">
      <c r="A160" s="1">
        <v>0.058594</v>
      </c>
      <c r="B160" s="1">
        <f t="shared" si="2"/>
        <v>0.38134882614</v>
      </c>
    </row>
    <row r="161" spans="1:2" ht="12.75">
      <c r="A161" s="1">
        <v>0.058594</v>
      </c>
      <c r="B161" s="1">
        <f t="shared" si="2"/>
        <v>0.38134882614</v>
      </c>
    </row>
    <row r="162" spans="1:2" ht="12.75">
      <c r="A162" s="1">
        <v>0.058594</v>
      </c>
      <c r="B162" s="1">
        <f t="shared" si="2"/>
        <v>0.38134882614</v>
      </c>
    </row>
    <row r="163" spans="1:2" ht="12.75">
      <c r="A163" s="1">
        <v>0.039063</v>
      </c>
      <c r="B163" s="1">
        <f t="shared" si="2"/>
        <v>3.905852999996906E-05</v>
      </c>
    </row>
    <row r="164" spans="1:2" ht="12.75">
      <c r="A164" s="1">
        <v>0.039063</v>
      </c>
      <c r="B164" s="1">
        <f t="shared" si="2"/>
        <v>3.905852999996906E-05</v>
      </c>
    </row>
    <row r="165" spans="1:2" ht="12.75">
      <c r="A165" s="1">
        <v>0.019531</v>
      </c>
      <c r="B165" s="1">
        <f t="shared" si="2"/>
        <v>-0.38129023239</v>
      </c>
    </row>
    <row r="166" spans="1:2" ht="12.75">
      <c r="A166" s="1">
        <v>0.019531</v>
      </c>
      <c r="B166" s="1">
        <f t="shared" si="2"/>
        <v>-0.38129023239</v>
      </c>
    </row>
    <row r="167" spans="1:2" ht="12.75">
      <c r="A167" s="1">
        <v>0.019531</v>
      </c>
      <c r="B167" s="1">
        <f t="shared" si="2"/>
        <v>-0.38129023239</v>
      </c>
    </row>
    <row r="168" spans="1:2" ht="12.75">
      <c r="A168" s="1">
        <v>0.019531</v>
      </c>
      <c r="B168" s="1">
        <f t="shared" si="2"/>
        <v>-0.38129023239</v>
      </c>
    </row>
    <row r="169" spans="1:2" ht="12.75">
      <c r="A169" s="1">
        <v>0.019531</v>
      </c>
      <c r="B169" s="1">
        <f t="shared" si="2"/>
        <v>-0.38129023239</v>
      </c>
    </row>
    <row r="170" spans="1:2" ht="12.75">
      <c r="A170" s="1">
        <v>0.019531</v>
      </c>
      <c r="B170" s="1">
        <f t="shared" si="2"/>
        <v>-0.38129023239</v>
      </c>
    </row>
    <row r="171" spans="1:2" ht="12.75">
      <c r="A171" s="1">
        <v>0.019531</v>
      </c>
      <c r="B171" s="1">
        <f t="shared" si="2"/>
        <v>-0.38129023239</v>
      </c>
    </row>
    <row r="172" spans="1:2" ht="12.75">
      <c r="A172" s="1">
        <v>0.019531</v>
      </c>
      <c r="B172" s="1">
        <f t="shared" si="2"/>
        <v>-0.38129023239</v>
      </c>
    </row>
    <row r="173" spans="1:2" ht="12.75">
      <c r="A173" s="1">
        <v>0.019531</v>
      </c>
      <c r="B173" s="1">
        <f t="shared" si="2"/>
        <v>-0.38129023239</v>
      </c>
    </row>
    <row r="174" spans="1:2" ht="12.75">
      <c r="A174" s="1">
        <v>0.019531</v>
      </c>
      <c r="B174" s="1">
        <f t="shared" si="2"/>
        <v>-0.38129023239</v>
      </c>
    </row>
    <row r="175" spans="1:2" ht="12.75">
      <c r="A175" s="1">
        <v>0.019531</v>
      </c>
      <c r="B175" s="1">
        <f t="shared" si="2"/>
        <v>-0.38129023239</v>
      </c>
    </row>
    <row r="176" spans="1:2" ht="12.75">
      <c r="A176" s="1">
        <v>0.019531</v>
      </c>
      <c r="B176" s="1">
        <f t="shared" si="2"/>
        <v>-0.38129023239</v>
      </c>
    </row>
    <row r="177" spans="1:2" ht="12.75">
      <c r="A177" s="1">
        <v>0.019531</v>
      </c>
      <c r="B177" s="1">
        <f t="shared" si="2"/>
        <v>-0.38129023239</v>
      </c>
    </row>
    <row r="178" spans="1:2" ht="12.75">
      <c r="A178" s="1">
        <v>0.019531</v>
      </c>
      <c r="B178" s="1">
        <f t="shared" si="2"/>
        <v>-0.38129023239</v>
      </c>
    </row>
    <row r="179" spans="1:2" ht="12.75">
      <c r="A179" s="1">
        <v>0.019531</v>
      </c>
      <c r="B179" s="1">
        <f t="shared" si="2"/>
        <v>-0.38129023239</v>
      </c>
    </row>
    <row r="180" spans="1:2" ht="12.75">
      <c r="A180" s="1">
        <v>0.019531</v>
      </c>
      <c r="B180" s="1">
        <f t="shared" si="2"/>
        <v>-0.38129023239</v>
      </c>
    </row>
    <row r="181" spans="1:2" ht="12.75">
      <c r="A181" s="1">
        <v>0.019531</v>
      </c>
      <c r="B181" s="1">
        <f t="shared" si="2"/>
        <v>-0.38129023239</v>
      </c>
    </row>
    <row r="182" spans="1:2" ht="12.75">
      <c r="A182" s="1">
        <v>0.039063</v>
      </c>
      <c r="B182" s="1">
        <f t="shared" si="2"/>
        <v>3.905852999996906E-05</v>
      </c>
    </row>
    <row r="183" spans="1:2" ht="12.75">
      <c r="A183" s="1">
        <v>0.019531</v>
      </c>
      <c r="B183" s="1">
        <f t="shared" si="2"/>
        <v>-0.38129023239</v>
      </c>
    </row>
    <row r="184" spans="1:2" ht="12.75">
      <c r="A184" s="1">
        <v>0.019531</v>
      </c>
      <c r="B184" s="1">
        <f t="shared" si="2"/>
        <v>-0.38129023239</v>
      </c>
    </row>
    <row r="185" spans="1:2" ht="12.75">
      <c r="A185" s="1">
        <v>0.039063</v>
      </c>
      <c r="B185" s="1">
        <f t="shared" si="2"/>
        <v>3.905852999996906E-05</v>
      </c>
    </row>
    <row r="186" spans="1:2" ht="12.75">
      <c r="A186" s="1">
        <v>0.019531</v>
      </c>
      <c r="B186" s="1">
        <f t="shared" si="2"/>
        <v>-0.38129023239</v>
      </c>
    </row>
    <row r="187" spans="1:2" ht="12.75">
      <c r="A187" s="1">
        <v>0.019531</v>
      </c>
      <c r="B187" s="1">
        <f t="shared" si="2"/>
        <v>-0.38129023239</v>
      </c>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165</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156</v>
      </c>
      <c r="B1" s="11" t="s">
        <v>150</v>
      </c>
      <c r="D1" t="s">
        <v>128</v>
      </c>
    </row>
    <row r="2" ht="12.75">
      <c r="D2" t="s">
        <v>144</v>
      </c>
    </row>
    <row r="3" spans="1:4" ht="12.75">
      <c r="A3" s="7" t="s">
        <v>133</v>
      </c>
      <c r="B3" s="12">
        <v>1</v>
      </c>
      <c r="D3" t="s">
        <v>157</v>
      </c>
    </row>
    <row r="4" spans="1:4" ht="12.75">
      <c r="A4" s="7" t="s">
        <v>134</v>
      </c>
      <c r="B4" s="13">
        <v>1.22</v>
      </c>
      <c r="D4" t="s">
        <v>129</v>
      </c>
    </row>
    <row r="5" spans="1:8" ht="12.75">
      <c r="A5" s="7" t="s">
        <v>135</v>
      </c>
      <c r="B5" s="13">
        <v>0.375</v>
      </c>
      <c r="H5" t="s">
        <v>138</v>
      </c>
    </row>
    <row r="6" spans="1:4" ht="12.75">
      <c r="A6" s="7" t="s">
        <v>136</v>
      </c>
      <c r="B6" s="13">
        <v>3.6</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3.6</v>
      </c>
      <c r="H10" s="3">
        <f>$B5+E10</f>
        <v>0.375</v>
      </c>
      <c r="I10" s="2">
        <f>((F10-E10)*(PI())*G10)</f>
        <v>13.797874934566371</v>
      </c>
      <c r="J10" s="2">
        <f>((F10/2)^2)*PI()</f>
        <v>1.168986626400762</v>
      </c>
      <c r="K10" s="2">
        <f>((H10/2)^2)*PI()</f>
        <v>0.11044661672776616</v>
      </c>
      <c r="L10" s="2">
        <f>J10-K10</f>
        <v>1.0585400096729958</v>
      </c>
      <c r="M10" s="2">
        <f>(H10*PI())*G10</f>
        <v>4.241150082346221</v>
      </c>
      <c r="N10" s="2">
        <f>(L10*2)+I10+M10</f>
        <v>20.156105036258584</v>
      </c>
      <c r="O10" s="2">
        <f>N10*B3</f>
        <v>20.156105036258584</v>
      </c>
      <c r="P10" s="18">
        <f>(F10-H10)/2</f>
        <v>0.4225</v>
      </c>
      <c r="Q10" s="2">
        <f>O10/B12</f>
        <v>277.6959617382272</v>
      </c>
    </row>
    <row r="11" spans="1:17" ht="12.75">
      <c r="A11" t="s">
        <v>103</v>
      </c>
      <c r="B11" s="1">
        <f>$O$10</f>
        <v>20.156105036258584</v>
      </c>
      <c r="C11" s="17" t="s">
        <v>142</v>
      </c>
      <c r="D11" s="15">
        <v>1</v>
      </c>
      <c r="E11" s="1">
        <f>D11*B10</f>
        <v>0.02913793103448276</v>
      </c>
      <c r="F11">
        <f>B4</f>
        <v>1.22</v>
      </c>
      <c r="G11" s="1">
        <f>$B6-E11</f>
        <v>3.5708620689655173</v>
      </c>
      <c r="H11" s="3">
        <f>$B5+E11</f>
        <v>0.40413793103448276</v>
      </c>
      <c r="I11" s="2">
        <f aca="true" t="shared" si="0" ref="I11:I39">((F11-E11)*(PI())*G11)</f>
        <v>13.359321767918463</v>
      </c>
      <c r="J11" s="2">
        <f aca="true" t="shared" si="1" ref="J11:J38">((F11/2)^2)*PI()</f>
        <v>1.168986626400762</v>
      </c>
      <c r="K11" s="2">
        <f aca="true" t="shared" si="2" ref="K11:K38">((H11/2)^2)*PI()</f>
        <v>0.1282770928504305</v>
      </c>
      <c r="L11" s="2">
        <f aca="true" t="shared" si="3" ref="L11:L38">J11-K11</f>
        <v>1.0407095335503316</v>
      </c>
      <c r="M11" s="2">
        <f aca="true" t="shared" si="4" ref="M11:M38">(H11*PI())*G11</f>
        <v>4.5336977304185435</v>
      </c>
      <c r="N11" s="2">
        <f aca="true" t="shared" si="5" ref="N11:N39">(L11*2)+I11+M11</f>
        <v>19.97443856543767</v>
      </c>
      <c r="O11" s="2">
        <f>N11*B3</f>
        <v>19.97443856543767</v>
      </c>
      <c r="P11" s="18">
        <f aca="true" t="shared" si="6" ref="P11:P39">(F11-H11)/2</f>
        <v>0.4079310344827586</v>
      </c>
      <c r="Q11" s="2">
        <f>O11/B12</f>
        <v>275.1930949770423</v>
      </c>
    </row>
    <row r="12" spans="1:17" ht="12.75">
      <c r="A12" t="s">
        <v>106</v>
      </c>
      <c r="B12" s="1">
        <f>((B7/2)^2)*PI()</f>
        <v>0.07258335666853857</v>
      </c>
      <c r="C12" s="14" t="s">
        <v>143</v>
      </c>
      <c r="D12" s="15">
        <v>2</v>
      </c>
      <c r="E12" s="1">
        <f>D12*B10</f>
        <v>0.05827586206896552</v>
      </c>
      <c r="F12">
        <f>B4</f>
        <v>1.22</v>
      </c>
      <c r="G12" s="1">
        <f>$B6-E12</f>
        <v>3.5417241379310345</v>
      </c>
      <c r="H12" s="3">
        <f>$B5+E12</f>
        <v>0.4332758620689655</v>
      </c>
      <c r="I12" s="2">
        <f t="shared" si="0"/>
        <v>12.926103145133762</v>
      </c>
      <c r="J12" s="2">
        <f t="shared" si="1"/>
        <v>1.168986626400762</v>
      </c>
      <c r="K12" s="2">
        <f t="shared" si="2"/>
        <v>0.14744120493889715</v>
      </c>
      <c r="L12" s="2">
        <f t="shared" si="3"/>
        <v>1.0215454214618649</v>
      </c>
      <c r="M12" s="2">
        <f t="shared" si="4"/>
        <v>4.820910834627656</v>
      </c>
      <c r="N12" s="2">
        <f t="shared" si="5"/>
        <v>19.790104822685148</v>
      </c>
      <c r="O12" s="2">
        <f>N12*B3</f>
        <v>19.790104822685148</v>
      </c>
      <c r="P12" s="18">
        <f t="shared" si="6"/>
        <v>0.39336206896551723</v>
      </c>
      <c r="Q12" s="2">
        <f>O12/B12</f>
        <v>272.6534805087516</v>
      </c>
    </row>
    <row r="13" spans="1:17" ht="12.75">
      <c r="A13" t="s">
        <v>148</v>
      </c>
      <c r="B13" s="1">
        <f>((B5/2)^2)*PI()</f>
        <v>0.11044661672776616</v>
      </c>
      <c r="D13" s="15">
        <v>3</v>
      </c>
      <c r="E13" s="1">
        <f>D13*B10</f>
        <v>0.08741379310344828</v>
      </c>
      <c r="F13">
        <f>B4</f>
        <v>1.22</v>
      </c>
      <c r="G13" s="1">
        <f>$B6-E13</f>
        <v>3.5125862068965517</v>
      </c>
      <c r="H13" s="3">
        <f>$B5+E13</f>
        <v>0.46241379310344827</v>
      </c>
      <c r="I13" s="2">
        <f t="shared" si="0"/>
        <v>12.498219066212275</v>
      </c>
      <c r="J13" s="2">
        <f t="shared" si="1"/>
        <v>1.168986626400762</v>
      </c>
      <c r="K13" s="2">
        <f t="shared" si="2"/>
        <v>0.16793895299316608</v>
      </c>
      <c r="L13" s="2">
        <f t="shared" si="3"/>
        <v>1.001047673407596</v>
      </c>
      <c r="M13" s="2">
        <f t="shared" si="4"/>
        <v>5.10278939497356</v>
      </c>
      <c r="N13" s="2">
        <f t="shared" si="5"/>
        <v>19.603103808001027</v>
      </c>
      <c r="O13" s="2">
        <f>N13*B3</f>
        <v>19.603103808001027</v>
      </c>
      <c r="P13" s="18">
        <f t="shared" si="6"/>
        <v>0.3787931034482759</v>
      </c>
      <c r="Q13" s="2">
        <f>O13/B12</f>
        <v>270.0771183333553</v>
      </c>
    </row>
    <row r="14" spans="1:17" ht="12.75">
      <c r="A14" t="s">
        <v>149</v>
      </c>
      <c r="B14">
        <f>B13/B12</f>
        <v>1.5216520948753465</v>
      </c>
      <c r="D14" s="15">
        <v>4</v>
      </c>
      <c r="E14" s="1">
        <f>D14*B10</f>
        <v>0.11655172413793104</v>
      </c>
      <c r="F14">
        <f>B4</f>
        <v>1.22</v>
      </c>
      <c r="G14" s="1">
        <f>$B6-E14</f>
        <v>3.483448275862069</v>
      </c>
      <c r="H14" s="3">
        <f>$B5+E14</f>
        <v>0.491551724137931</v>
      </c>
      <c r="I14" s="2">
        <f t="shared" si="0"/>
        <v>12.075669531153993</v>
      </c>
      <c r="J14" s="2">
        <f t="shared" si="1"/>
        <v>1.168986626400762</v>
      </c>
      <c r="K14" s="2">
        <f t="shared" si="2"/>
        <v>0.18977033701323728</v>
      </c>
      <c r="L14" s="2">
        <f t="shared" si="3"/>
        <v>0.9792162893875247</v>
      </c>
      <c r="M14" s="2">
        <f t="shared" si="4"/>
        <v>5.379333411456256</v>
      </c>
      <c r="N14" s="2">
        <f t="shared" si="5"/>
        <v>19.4134355213853</v>
      </c>
      <c r="O14" s="2">
        <f>N14*B3</f>
        <v>19.4134355213853</v>
      </c>
      <c r="P14" s="18">
        <f t="shared" si="6"/>
        <v>0.3642241379310345</v>
      </c>
      <c r="Q14" s="2">
        <f>O14/B12</f>
        <v>267.46400845085327</v>
      </c>
    </row>
    <row r="15" spans="1:17" ht="12.75">
      <c r="A15" t="s">
        <v>104</v>
      </c>
      <c r="B15" s="15">
        <f>$Q$10</f>
        <v>277.6959617382272</v>
      </c>
      <c r="D15" s="15">
        <v>5</v>
      </c>
      <c r="E15" s="1">
        <f>D15*B10</f>
        <v>0.1456896551724138</v>
      </c>
      <c r="F15">
        <f>B4</f>
        <v>1.22</v>
      </c>
      <c r="G15" s="1">
        <f>$B6-E15</f>
        <v>3.4543103448275865</v>
      </c>
      <c r="H15" s="3">
        <f>$B5+E15</f>
        <v>0.5206896551724138</v>
      </c>
      <c r="I15" s="2">
        <f t="shared" si="0"/>
        <v>11.658454539958923</v>
      </c>
      <c r="J15" s="2">
        <f t="shared" si="1"/>
        <v>1.168986626400762</v>
      </c>
      <c r="K15" s="2">
        <f t="shared" si="2"/>
        <v>0.21293535699911084</v>
      </c>
      <c r="L15" s="2">
        <f t="shared" si="3"/>
        <v>0.9560512694016512</v>
      </c>
      <c r="M15" s="2">
        <f t="shared" si="4"/>
        <v>5.650542884075742</v>
      </c>
      <c r="N15" s="2">
        <f t="shared" si="5"/>
        <v>19.221099962837968</v>
      </c>
      <c r="O15" s="2">
        <f>N15*B3</f>
        <v>19.221099962837968</v>
      </c>
      <c r="P15" s="18">
        <f t="shared" si="6"/>
        <v>0.34965517241379307</v>
      </c>
      <c r="Q15" s="2">
        <f>O15/B12</f>
        <v>264.8141508612456</v>
      </c>
    </row>
    <row r="16" spans="1:17" ht="12.75">
      <c r="A16" t="s">
        <v>105</v>
      </c>
      <c r="B16" s="15">
        <f>MAX(Q11:Q39)</f>
        <v>275.1930949770423</v>
      </c>
      <c r="D16" s="15">
        <v>6</v>
      </c>
      <c r="E16" s="1">
        <f>D16*B10</f>
        <v>0.17482758620689656</v>
      </c>
      <c r="F16">
        <f>B4</f>
        <v>1.22</v>
      </c>
      <c r="G16" s="1">
        <f>$B6-E16</f>
        <v>3.4251724137931037</v>
      </c>
      <c r="H16" s="3">
        <f>$B5+E16</f>
        <v>0.5498275862068965</v>
      </c>
      <c r="I16" s="2">
        <f t="shared" si="0"/>
        <v>11.24657409262706</v>
      </c>
      <c r="J16" s="2">
        <f t="shared" si="1"/>
        <v>1.168986626400762</v>
      </c>
      <c r="K16" s="2">
        <f t="shared" si="2"/>
        <v>0.2374340129507866</v>
      </c>
      <c r="L16" s="2">
        <f t="shared" si="3"/>
        <v>0.9315526134499754</v>
      </c>
      <c r="M16" s="2">
        <f t="shared" si="4"/>
        <v>5.916417812832019</v>
      </c>
      <c r="N16" s="2">
        <f t="shared" si="5"/>
        <v>19.02609713235903</v>
      </c>
      <c r="O16" s="2">
        <f>N16*B3</f>
        <v>19.02609713235903</v>
      </c>
      <c r="P16" s="18">
        <f t="shared" si="6"/>
        <v>0.3350862068965517</v>
      </c>
      <c r="Q16" s="2">
        <f>O16/B12</f>
        <v>262.1275455645321</v>
      </c>
    </row>
    <row r="17" spans="1:17" ht="12.75">
      <c r="A17" t="s">
        <v>140</v>
      </c>
      <c r="B17" s="15">
        <f>$Q$39</f>
        <v>190.19325657894737</v>
      </c>
      <c r="D17" s="15">
        <v>7</v>
      </c>
      <c r="E17" s="1">
        <f>D17*B10</f>
        <v>0.20396551724137932</v>
      </c>
      <c r="F17">
        <f>B4</f>
        <v>1.22</v>
      </c>
      <c r="G17" s="1">
        <f>$B6-E17</f>
        <v>3.396034482758621</v>
      </c>
      <c r="H17" s="3">
        <f>$B5+E17</f>
        <v>0.5789655172413793</v>
      </c>
      <c r="I17" s="2">
        <f t="shared" si="0"/>
        <v>10.840028189158408</v>
      </c>
      <c r="J17" s="2">
        <f t="shared" si="1"/>
        <v>1.168986626400762</v>
      </c>
      <c r="K17" s="2">
        <f t="shared" si="2"/>
        <v>0.26326630486826474</v>
      </c>
      <c r="L17" s="2">
        <f t="shared" si="3"/>
        <v>0.9057203215324973</v>
      </c>
      <c r="M17" s="2">
        <f t="shared" si="4"/>
        <v>6.176958197725087</v>
      </c>
      <c r="N17" s="2">
        <f t="shared" si="5"/>
        <v>18.82842702994849</v>
      </c>
      <c r="O17" s="2">
        <f>N17*B3</f>
        <v>18.82842702994849</v>
      </c>
      <c r="P17" s="18">
        <f t="shared" si="6"/>
        <v>0.3205172413793103</v>
      </c>
      <c r="Q17" s="2">
        <f>O17/B12</f>
        <v>259.40419256071294</v>
      </c>
    </row>
    <row r="18" spans="2:17" ht="12.75">
      <c r="B18" s="1"/>
      <c r="D18" s="15">
        <v>8</v>
      </c>
      <c r="E18" s="1">
        <f>D18*B10</f>
        <v>0.23310344827586207</v>
      </c>
      <c r="F18">
        <f>B4</f>
        <v>1.22</v>
      </c>
      <c r="G18" s="1">
        <f>$B6-E18</f>
        <v>3.366896551724138</v>
      </c>
      <c r="H18" s="3">
        <f>$B5+E18</f>
        <v>0.608103448275862</v>
      </c>
      <c r="I18" s="2">
        <f t="shared" si="0"/>
        <v>10.438816829552964</v>
      </c>
      <c r="J18" s="2">
        <f t="shared" si="1"/>
        <v>1.168986626400762</v>
      </c>
      <c r="K18" s="2">
        <f t="shared" si="2"/>
        <v>0.29043223275154506</v>
      </c>
      <c r="L18" s="2">
        <f t="shared" si="3"/>
        <v>0.878554393649217</v>
      </c>
      <c r="M18" s="2">
        <f t="shared" si="4"/>
        <v>6.432164038754944</v>
      </c>
      <c r="N18" s="2">
        <f t="shared" si="5"/>
        <v>18.628089655606342</v>
      </c>
      <c r="O18" s="2">
        <f>N18*B3</f>
        <v>18.628089655606342</v>
      </c>
      <c r="P18" s="18">
        <f t="shared" si="6"/>
        <v>0.30594827586206896</v>
      </c>
      <c r="Q18" s="2">
        <f>O18/B12</f>
        <v>256.6440918497881</v>
      </c>
    </row>
    <row r="19" spans="1:17" ht="12.75">
      <c r="A19" t="s">
        <v>132</v>
      </c>
      <c r="B19" s="1">
        <f>((B4*3)+B5)/2</f>
        <v>2.0175</v>
      </c>
      <c r="C19" s="17" t="s">
        <v>147</v>
      </c>
      <c r="D19" s="15">
        <v>9</v>
      </c>
      <c r="E19" s="1">
        <f>D19*B10</f>
        <v>0.26224137931034486</v>
      </c>
      <c r="F19">
        <f>B4</f>
        <v>1.22</v>
      </c>
      <c r="G19" s="1">
        <f>$B6-E19</f>
        <v>3.3377586206896552</v>
      </c>
      <c r="H19" s="3">
        <f>$B5+E19</f>
        <v>0.6372413793103449</v>
      </c>
      <c r="I19" s="2">
        <f t="shared" si="0"/>
        <v>10.042940013810727</v>
      </c>
      <c r="J19" s="2">
        <f t="shared" si="1"/>
        <v>1.168986626400762</v>
      </c>
      <c r="K19" s="2">
        <f t="shared" si="2"/>
        <v>0.31893179660062776</v>
      </c>
      <c r="L19" s="2">
        <f t="shared" si="3"/>
        <v>0.8500548298001342</v>
      </c>
      <c r="M19" s="2">
        <f t="shared" si="4"/>
        <v>6.682035335921593</v>
      </c>
      <c r="N19" s="2">
        <f t="shared" si="5"/>
        <v>18.425085009332587</v>
      </c>
      <c r="O19" s="2">
        <f>N19*B3</f>
        <v>18.425085009332587</v>
      </c>
      <c r="P19" s="18">
        <f t="shared" si="6"/>
        <v>0.29137931034482756</v>
      </c>
      <c r="Q19" s="2">
        <f>O19/B12</f>
        <v>253.84724343175745</v>
      </c>
    </row>
    <row r="20" spans="4:17" ht="12.75">
      <c r="D20" s="15">
        <v>10</v>
      </c>
      <c r="E20" s="1">
        <f>D20*B10</f>
        <v>0.2913793103448276</v>
      </c>
      <c r="F20">
        <f>B4</f>
        <v>1.22</v>
      </c>
      <c r="G20" s="1">
        <f>$B6-E20</f>
        <v>3.3086206896551724</v>
      </c>
      <c r="H20" s="3">
        <f>$B5+E20</f>
        <v>0.6663793103448277</v>
      </c>
      <c r="I20" s="2">
        <f t="shared" si="0"/>
        <v>9.652397741931702</v>
      </c>
      <c r="J20" s="2">
        <f t="shared" si="1"/>
        <v>1.168986626400762</v>
      </c>
      <c r="K20" s="2">
        <f t="shared" si="2"/>
        <v>0.3487649964155128</v>
      </c>
      <c r="L20" s="2">
        <f t="shared" si="3"/>
        <v>0.8202216299852492</v>
      </c>
      <c r="M20" s="2">
        <f t="shared" si="4"/>
        <v>6.926572089225035</v>
      </c>
      <c r="N20" s="2">
        <f t="shared" si="5"/>
        <v>18.219413091127237</v>
      </c>
      <c r="O20" s="2">
        <f>N20*B3</f>
        <v>18.219413091127237</v>
      </c>
      <c r="P20" s="18">
        <f t="shared" si="6"/>
        <v>0.27681034482758615</v>
      </c>
      <c r="Q20" s="2">
        <f>O20/B12</f>
        <v>251.01364730662124</v>
      </c>
    </row>
    <row r="21" spans="4:17" ht="12.75">
      <c r="D21" s="15">
        <v>11</v>
      </c>
      <c r="E21" s="1">
        <f>D21*B10</f>
        <v>0.32051724137931037</v>
      </c>
      <c r="F21">
        <f>B4</f>
        <v>1.22</v>
      </c>
      <c r="G21" s="1">
        <f>$B6-E21</f>
        <v>3.2794827586206896</v>
      </c>
      <c r="H21" s="3">
        <f>$B5+E21</f>
        <v>0.6955172413793104</v>
      </c>
      <c r="I21" s="2">
        <f t="shared" si="0"/>
        <v>9.267190013915885</v>
      </c>
      <c r="J21" s="2">
        <f t="shared" si="1"/>
        <v>1.168986626400762</v>
      </c>
      <c r="K21" s="2">
        <f t="shared" si="2"/>
        <v>0.37993183219619997</v>
      </c>
      <c r="L21" s="2">
        <f t="shared" si="3"/>
        <v>0.789054794204562</v>
      </c>
      <c r="M21" s="2">
        <f t="shared" si="4"/>
        <v>7.165774298665264</v>
      </c>
      <c r="N21" s="2">
        <f t="shared" si="5"/>
        <v>18.011073900990272</v>
      </c>
      <c r="O21" s="2">
        <f>N21*B3</f>
        <v>18.011073900990272</v>
      </c>
      <c r="P21" s="18">
        <f t="shared" si="6"/>
        <v>0.2622413793103448</v>
      </c>
      <c r="Q21" s="2">
        <f>O21/B12</f>
        <v>248.1433034743792</v>
      </c>
    </row>
    <row r="22" spans="4:17" ht="12.75">
      <c r="D22" s="15">
        <v>12</v>
      </c>
      <c r="E22" s="1">
        <f>D22*B10</f>
        <v>0.3496551724137931</v>
      </c>
      <c r="F22">
        <f>B4</f>
        <v>1.22</v>
      </c>
      <c r="G22" s="1">
        <f>$B6-E22</f>
        <v>3.250344827586207</v>
      </c>
      <c r="H22" s="3">
        <f>$B5+E22</f>
        <v>0.7246551724137931</v>
      </c>
      <c r="I22" s="2">
        <f t="shared" si="0"/>
        <v>8.887316829763279</v>
      </c>
      <c r="J22" s="2">
        <f t="shared" si="1"/>
        <v>1.168986626400762</v>
      </c>
      <c r="K22" s="2">
        <f t="shared" si="2"/>
        <v>0.4124323039426894</v>
      </c>
      <c r="L22" s="2">
        <f t="shared" si="3"/>
        <v>0.7565543224580726</v>
      </c>
      <c r="M22" s="2">
        <f t="shared" si="4"/>
        <v>7.399641964242285</v>
      </c>
      <c r="N22" s="2">
        <f t="shared" si="5"/>
        <v>17.800067438921708</v>
      </c>
      <c r="O22" s="2">
        <f>N22*B3</f>
        <v>17.800067438921708</v>
      </c>
      <c r="P22" s="18">
        <f t="shared" si="6"/>
        <v>0.24767241379310345</v>
      </c>
      <c r="Q22" s="2">
        <f>O22/B12</f>
        <v>245.23621193503152</v>
      </c>
    </row>
    <row r="23" spans="4:17" ht="12.75">
      <c r="D23" s="15">
        <v>13</v>
      </c>
      <c r="E23" s="1">
        <f>D23*B10</f>
        <v>0.3787931034482759</v>
      </c>
      <c r="F23">
        <f>B4</f>
        <v>1.22</v>
      </c>
      <c r="G23" s="1">
        <f>$B6-E23</f>
        <v>3.221206896551724</v>
      </c>
      <c r="H23" s="3">
        <f>$B5+E23</f>
        <v>0.7537931034482759</v>
      </c>
      <c r="I23" s="2">
        <f t="shared" si="0"/>
        <v>8.51277818947388</v>
      </c>
      <c r="J23" s="2">
        <f t="shared" si="1"/>
        <v>1.168986626400762</v>
      </c>
      <c r="K23" s="2">
        <f t="shared" si="2"/>
        <v>0.4462664116549814</v>
      </c>
      <c r="L23" s="2">
        <f t="shared" si="3"/>
        <v>0.7227202147457806</v>
      </c>
      <c r="M23" s="2">
        <f t="shared" si="4"/>
        <v>7.628175085956098</v>
      </c>
      <c r="N23" s="2">
        <f t="shared" si="5"/>
        <v>17.58639370492154</v>
      </c>
      <c r="O23" s="2">
        <f>N23*B3</f>
        <v>17.58639370492154</v>
      </c>
      <c r="P23" s="18">
        <f t="shared" si="6"/>
        <v>0.23310344827586205</v>
      </c>
      <c r="Q23" s="2">
        <f>O23/B12</f>
        <v>242.29237268857813</v>
      </c>
    </row>
    <row r="24" spans="4:17" ht="12.75">
      <c r="D24" s="15">
        <v>14</v>
      </c>
      <c r="E24" s="1">
        <f>D24*B10</f>
        <v>0.40793103448275864</v>
      </c>
      <c r="F24">
        <f>B4</f>
        <v>1.22</v>
      </c>
      <c r="G24" s="1">
        <f>$B6-E24</f>
        <v>3.1920689655172416</v>
      </c>
      <c r="H24" s="3">
        <f>$B5+E24</f>
        <v>0.7829310344827587</v>
      </c>
      <c r="I24" s="2">
        <f t="shared" si="0"/>
        <v>8.143574093047691</v>
      </c>
      <c r="J24" s="2">
        <f t="shared" si="1"/>
        <v>1.168986626400762</v>
      </c>
      <c r="K24" s="2">
        <f t="shared" si="2"/>
        <v>0.48143415533307554</v>
      </c>
      <c r="L24" s="2">
        <f t="shared" si="3"/>
        <v>0.6875524710676865</v>
      </c>
      <c r="M24" s="2">
        <f t="shared" si="4"/>
        <v>7.8513736638067035</v>
      </c>
      <c r="N24" s="2">
        <f t="shared" si="5"/>
        <v>17.370052698989767</v>
      </c>
      <c r="O24" s="2">
        <f>N24*B3</f>
        <v>17.370052698989767</v>
      </c>
      <c r="P24" s="18">
        <f t="shared" si="6"/>
        <v>0.21853448275862064</v>
      </c>
      <c r="Q24" s="2">
        <f>O24/B12</f>
        <v>239.31178573501901</v>
      </c>
    </row>
    <row r="25" spans="4:17" ht="12.75">
      <c r="D25" s="15">
        <v>15</v>
      </c>
      <c r="E25" s="1">
        <f>D25*B10</f>
        <v>0.4370689655172414</v>
      </c>
      <c r="F25">
        <f>B4</f>
        <v>1.22</v>
      </c>
      <c r="G25" s="1">
        <f>$B6-E25</f>
        <v>3.162931034482759</v>
      </c>
      <c r="H25" s="3">
        <f>$B5+E25</f>
        <v>0.8120689655172414</v>
      </c>
      <c r="I25" s="2">
        <f t="shared" si="0"/>
        <v>7.779704540484711</v>
      </c>
      <c r="J25" s="2">
        <f t="shared" si="1"/>
        <v>1.168986626400762</v>
      </c>
      <c r="K25" s="2">
        <f t="shared" si="2"/>
        <v>0.5179355349769719</v>
      </c>
      <c r="L25" s="2">
        <f t="shared" si="3"/>
        <v>0.6510510914237901</v>
      </c>
      <c r="M25" s="2">
        <f t="shared" si="4"/>
        <v>8.069237697794097</v>
      </c>
      <c r="N25" s="2">
        <f t="shared" si="5"/>
        <v>17.15104442112639</v>
      </c>
      <c r="O25" s="2">
        <f>N25*B3</f>
        <v>17.15104442112639</v>
      </c>
      <c r="P25" s="18">
        <f t="shared" si="6"/>
        <v>0.2039655172413793</v>
      </c>
      <c r="Q25" s="2">
        <f>O25/B12</f>
        <v>236.2944510743542</v>
      </c>
    </row>
    <row r="26" spans="4:17" ht="12.75">
      <c r="D26" s="15">
        <v>16</v>
      </c>
      <c r="E26" s="1">
        <f>D26*B10</f>
        <v>0.46620689655172415</v>
      </c>
      <c r="F26">
        <f>B4</f>
        <v>1.22</v>
      </c>
      <c r="G26" s="1">
        <f>$B6-E26</f>
        <v>3.133793103448276</v>
      </c>
      <c r="H26" s="3">
        <f>$B5+E26</f>
        <v>0.8412068965517241</v>
      </c>
      <c r="I26" s="2">
        <f t="shared" si="0"/>
        <v>7.42116953178494</v>
      </c>
      <c r="J26" s="2">
        <f t="shared" si="1"/>
        <v>1.168986626400762</v>
      </c>
      <c r="K26" s="2">
        <f t="shared" si="2"/>
        <v>0.5557705505866705</v>
      </c>
      <c r="L26" s="2">
        <f t="shared" si="3"/>
        <v>0.6132160758140915</v>
      </c>
      <c r="M26" s="2">
        <f t="shared" si="4"/>
        <v>8.28176718791828</v>
      </c>
      <c r="N26" s="2">
        <f t="shared" si="5"/>
        <v>16.929368871331405</v>
      </c>
      <c r="O26" s="2">
        <f>N26*B3</f>
        <v>16.929368871331405</v>
      </c>
      <c r="P26" s="18">
        <f t="shared" si="6"/>
        <v>0.18939655172413794</v>
      </c>
      <c r="Q26" s="2">
        <f>O26/B12</f>
        <v>233.24036870658367</v>
      </c>
    </row>
    <row r="27" spans="4:17" ht="12.75">
      <c r="D27" s="15">
        <v>17</v>
      </c>
      <c r="E27" s="1">
        <f>D27*B10</f>
        <v>0.4953448275862069</v>
      </c>
      <c r="F27">
        <f>B4</f>
        <v>1.22</v>
      </c>
      <c r="G27" s="1">
        <f>$B6-E27</f>
        <v>3.104655172413793</v>
      </c>
      <c r="H27" s="3">
        <f>$B5+E27</f>
        <v>0.8703448275862069</v>
      </c>
      <c r="I27" s="2">
        <f t="shared" si="0"/>
        <v>7.067969066948379</v>
      </c>
      <c r="J27" s="2">
        <f t="shared" si="1"/>
        <v>1.168986626400762</v>
      </c>
      <c r="K27" s="2">
        <f t="shared" si="2"/>
        <v>0.5949392021621714</v>
      </c>
      <c r="L27" s="2">
        <f t="shared" si="3"/>
        <v>0.5740474242385906</v>
      </c>
      <c r="M27" s="2">
        <f t="shared" si="4"/>
        <v>8.488962134179259</v>
      </c>
      <c r="N27" s="2">
        <f t="shared" si="5"/>
        <v>16.705026049604818</v>
      </c>
      <c r="O27" s="2">
        <f>N27*B3</f>
        <v>16.705026049604818</v>
      </c>
      <c r="P27" s="18">
        <f t="shared" si="6"/>
        <v>0.17482758620689653</v>
      </c>
      <c r="Q27" s="2">
        <f>O27/B12</f>
        <v>230.14953863170743</v>
      </c>
    </row>
    <row r="28" spans="4:17" ht="12.75">
      <c r="D28" s="15">
        <v>18</v>
      </c>
      <c r="E28" s="1">
        <f>D28*B10</f>
        <v>0.5244827586206897</v>
      </c>
      <c r="F28">
        <f>B4</f>
        <v>1.22</v>
      </c>
      <c r="G28" s="1">
        <f>$B6-E28</f>
        <v>3.0755172413793104</v>
      </c>
      <c r="H28" s="3">
        <f>$B5+E28</f>
        <v>0.8994827586206897</v>
      </c>
      <c r="I28" s="2">
        <f t="shared" si="0"/>
        <v>6.720103145975027</v>
      </c>
      <c r="J28" s="2">
        <f t="shared" si="1"/>
        <v>1.168986626400762</v>
      </c>
      <c r="K28" s="2">
        <f t="shared" si="2"/>
        <v>0.6354414897034749</v>
      </c>
      <c r="L28" s="2">
        <f t="shared" si="3"/>
        <v>0.5335451366972871</v>
      </c>
      <c r="M28" s="2">
        <f t="shared" si="4"/>
        <v>8.690822536577025</v>
      </c>
      <c r="N28" s="2">
        <f t="shared" si="5"/>
        <v>16.478015955946624</v>
      </c>
      <c r="O28" s="2">
        <f>N28*B3</f>
        <v>16.478015955946624</v>
      </c>
      <c r="P28" s="18">
        <f t="shared" si="6"/>
        <v>0.16025862068965513</v>
      </c>
      <c r="Q28" s="2">
        <f>O28/B12</f>
        <v>227.02196084972547</v>
      </c>
    </row>
    <row r="29" spans="4:17" ht="12.75">
      <c r="D29" s="15">
        <v>19</v>
      </c>
      <c r="E29" s="1">
        <f>D29*B10</f>
        <v>0.5536206896551724</v>
      </c>
      <c r="F29">
        <f>B4</f>
        <v>1.22</v>
      </c>
      <c r="G29" s="1">
        <f>$B6-E29</f>
        <v>3.0463793103448276</v>
      </c>
      <c r="H29" s="3">
        <f>$B5+E29</f>
        <v>0.9286206896551724</v>
      </c>
      <c r="I29" s="2">
        <f t="shared" si="0"/>
        <v>6.377571768864883</v>
      </c>
      <c r="J29" s="2">
        <f t="shared" si="1"/>
        <v>1.168986626400762</v>
      </c>
      <c r="K29" s="2">
        <f t="shared" si="2"/>
        <v>0.6772774132105803</v>
      </c>
      <c r="L29" s="2">
        <f t="shared" si="3"/>
        <v>0.4917092131901817</v>
      </c>
      <c r="M29" s="2">
        <f t="shared" si="4"/>
        <v>8.887348395111582</v>
      </c>
      <c r="N29" s="2">
        <f t="shared" si="5"/>
        <v>16.24833859035683</v>
      </c>
      <c r="O29" s="2">
        <f>N29*B3</f>
        <v>16.24833859035683</v>
      </c>
      <c r="P29" s="18">
        <f t="shared" si="6"/>
        <v>0.14568965517241378</v>
      </c>
      <c r="Q29" s="2">
        <f>O29/B12</f>
        <v>223.85763536063786</v>
      </c>
    </row>
    <row r="30" spans="4:17" ht="12.75">
      <c r="D30" s="15">
        <v>20</v>
      </c>
      <c r="E30" s="1">
        <f>D30*B10</f>
        <v>0.5827586206896552</v>
      </c>
      <c r="F30">
        <f>B4</f>
        <v>1.22</v>
      </c>
      <c r="G30" s="1">
        <f>$B6-E30</f>
        <v>3.0172413793103448</v>
      </c>
      <c r="H30" s="3">
        <f>$B5+E30</f>
        <v>0.9577586206896552</v>
      </c>
      <c r="I30" s="2">
        <f t="shared" si="0"/>
        <v>6.040374935617949</v>
      </c>
      <c r="J30" s="2">
        <f t="shared" si="1"/>
        <v>1.168986626400762</v>
      </c>
      <c r="K30" s="2">
        <f t="shared" si="2"/>
        <v>0.7204469726834883</v>
      </c>
      <c r="L30" s="2">
        <f t="shared" si="3"/>
        <v>0.44853965371727367</v>
      </c>
      <c r="M30" s="2">
        <f t="shared" si="4"/>
        <v>9.07853970978293</v>
      </c>
      <c r="N30" s="2">
        <f t="shared" si="5"/>
        <v>16.015993952835426</v>
      </c>
      <c r="O30" s="2">
        <f>N30*B3</f>
        <v>16.015993952835426</v>
      </c>
      <c r="P30" s="18">
        <f t="shared" si="6"/>
        <v>0.13112068965517237</v>
      </c>
      <c r="Q30" s="2">
        <f>O30/B12</f>
        <v>220.65656216444447</v>
      </c>
    </row>
    <row r="31" spans="4:17" ht="12.75">
      <c r="D31" s="15">
        <v>21</v>
      </c>
      <c r="E31" s="1">
        <f>D31*B10</f>
        <v>0.6118965517241379</v>
      </c>
      <c r="F31">
        <f>B4</f>
        <v>1.22</v>
      </c>
      <c r="G31" s="1">
        <f>$B6-E31</f>
        <v>2.9881034482758624</v>
      </c>
      <c r="H31" s="3">
        <f>$B5+E31</f>
        <v>0.9868965517241379</v>
      </c>
      <c r="I31" s="2">
        <f t="shared" si="0"/>
        <v>5.708512646234225</v>
      </c>
      <c r="J31" s="2">
        <f t="shared" si="1"/>
        <v>1.168986626400762</v>
      </c>
      <c r="K31" s="2">
        <f t="shared" si="2"/>
        <v>0.7649501681221984</v>
      </c>
      <c r="L31" s="2">
        <f t="shared" si="3"/>
        <v>0.4040364582785636</v>
      </c>
      <c r="M31" s="2">
        <f t="shared" si="4"/>
        <v>9.26439648059107</v>
      </c>
      <c r="N31" s="2">
        <f t="shared" si="5"/>
        <v>15.780982043382423</v>
      </c>
      <c r="O31" s="2">
        <f>N31*B3</f>
        <v>15.780982043382423</v>
      </c>
      <c r="P31" s="18">
        <f t="shared" si="6"/>
        <v>0.11655172413793102</v>
      </c>
      <c r="Q31" s="2">
        <f>O31/B12</f>
        <v>217.41874126114544</v>
      </c>
    </row>
    <row r="32" spans="4:17" ht="12.75">
      <c r="D32" s="15">
        <v>22</v>
      </c>
      <c r="E32" s="1">
        <f>D32*B10</f>
        <v>0.6410344827586207</v>
      </c>
      <c r="F32">
        <f>B4</f>
        <v>1.22</v>
      </c>
      <c r="G32" s="1">
        <f>$B6-E32</f>
        <v>2.9589655172413796</v>
      </c>
      <c r="H32" s="3">
        <f>$B5+E32</f>
        <v>1.0160344827586207</v>
      </c>
      <c r="I32" s="2">
        <f t="shared" si="0"/>
        <v>5.381984900713708</v>
      </c>
      <c r="J32" s="2">
        <f t="shared" si="1"/>
        <v>1.168986626400762</v>
      </c>
      <c r="K32" s="2">
        <f t="shared" si="2"/>
        <v>0.810786999526711</v>
      </c>
      <c r="L32" s="2">
        <f t="shared" si="3"/>
        <v>0.35819962687405105</v>
      </c>
      <c r="M32" s="2">
        <f t="shared" si="4"/>
        <v>9.444918707536</v>
      </c>
      <c r="N32" s="2">
        <f t="shared" si="5"/>
        <v>15.54330286199781</v>
      </c>
      <c r="O32" s="2">
        <f>N32*B3</f>
        <v>15.54330286199781</v>
      </c>
      <c r="P32" s="18">
        <f t="shared" si="6"/>
        <v>0.10198275862068962</v>
      </c>
      <c r="Q32" s="2">
        <f>O32/B12</f>
        <v>214.14417265074064</v>
      </c>
    </row>
    <row r="33" spans="4:17" ht="12.75">
      <c r="D33" s="15">
        <v>23</v>
      </c>
      <c r="E33" s="1">
        <f>D33*B10</f>
        <v>0.6701724137931034</v>
      </c>
      <c r="F33">
        <f>B4</f>
        <v>1.22</v>
      </c>
      <c r="G33" s="1">
        <f>$B6-E33</f>
        <v>2.9298275862068968</v>
      </c>
      <c r="H33" s="3">
        <f>$B5+E33</f>
        <v>1.0451724137931033</v>
      </c>
      <c r="I33" s="2">
        <f t="shared" si="0"/>
        <v>5.060791699056402</v>
      </c>
      <c r="J33" s="2">
        <f t="shared" si="1"/>
        <v>1.168986626400762</v>
      </c>
      <c r="K33" s="2">
        <f t="shared" si="2"/>
        <v>0.8579574668970255</v>
      </c>
      <c r="L33" s="2">
        <f t="shared" si="3"/>
        <v>0.31102915950373655</v>
      </c>
      <c r="M33" s="2">
        <f t="shared" si="4"/>
        <v>9.62010639061772</v>
      </c>
      <c r="N33" s="2">
        <f t="shared" si="5"/>
        <v>15.302956408681595</v>
      </c>
      <c r="O33" s="2">
        <f>N33*B3</f>
        <v>15.302956408681595</v>
      </c>
      <c r="P33" s="18">
        <f t="shared" si="6"/>
        <v>0.08741379310344832</v>
      </c>
      <c r="Q33" s="2">
        <f>O33/B12</f>
        <v>210.83285633323015</v>
      </c>
    </row>
    <row r="34" spans="4:17" ht="12.75">
      <c r="D34" s="15">
        <v>24</v>
      </c>
      <c r="E34" s="1">
        <f>D34*B10</f>
        <v>0.6993103448275862</v>
      </c>
      <c r="F34">
        <f>B4</f>
        <v>1.22</v>
      </c>
      <c r="G34" s="1">
        <f>$B6-E34</f>
        <v>2.900689655172414</v>
      </c>
      <c r="H34" s="3">
        <f>$B5+E34</f>
        <v>1.0743103448275861</v>
      </c>
      <c r="I34" s="2">
        <f t="shared" si="0"/>
        <v>4.744933041262304</v>
      </c>
      <c r="J34" s="2">
        <f t="shared" si="1"/>
        <v>1.168986626400762</v>
      </c>
      <c r="K34" s="2">
        <f t="shared" si="2"/>
        <v>0.9064615702331424</v>
      </c>
      <c r="L34" s="2">
        <f t="shared" si="3"/>
        <v>0.26252505616761956</v>
      </c>
      <c r="M34" s="2">
        <f t="shared" si="4"/>
        <v>9.789959529836231</v>
      </c>
      <c r="N34" s="2">
        <f t="shared" si="5"/>
        <v>15.059942683433775</v>
      </c>
      <c r="O34" s="2">
        <f>N34*B3</f>
        <v>15.059942683433775</v>
      </c>
      <c r="P34" s="18">
        <f t="shared" si="6"/>
        <v>0.07284482758620692</v>
      </c>
      <c r="Q34" s="2">
        <f>O34/B12</f>
        <v>207.48479230861395</v>
      </c>
    </row>
    <row r="35" spans="4:17" ht="12.75">
      <c r="D35" s="15">
        <v>25</v>
      </c>
      <c r="E35" s="1">
        <f>D35*B10</f>
        <v>0.728448275862069</v>
      </c>
      <c r="F35">
        <f>B4</f>
        <v>1.22</v>
      </c>
      <c r="G35" s="1">
        <f>$B6-E35</f>
        <v>2.871551724137931</v>
      </c>
      <c r="H35" s="3">
        <f>$B5+E35</f>
        <v>1.103448275862069</v>
      </c>
      <c r="I35" s="2">
        <f t="shared" si="0"/>
        <v>4.4344089273314165</v>
      </c>
      <c r="J35" s="2">
        <f t="shared" si="1"/>
        <v>1.168986626400762</v>
      </c>
      <c r="K35" s="2">
        <f t="shared" si="2"/>
        <v>0.9562993095350618</v>
      </c>
      <c r="L35" s="2">
        <f t="shared" si="3"/>
        <v>0.2126873168657002</v>
      </c>
      <c r="M35" s="2">
        <f t="shared" si="4"/>
        <v>9.954478125191535</v>
      </c>
      <c r="N35" s="2">
        <f t="shared" si="5"/>
        <v>14.814261686254351</v>
      </c>
      <c r="O35" s="2">
        <f>N35*B3</f>
        <v>14.814261686254351</v>
      </c>
      <c r="P35" s="18">
        <f t="shared" si="6"/>
        <v>0.05827586206896551</v>
      </c>
      <c r="Q35" s="2">
        <f>O35/B12</f>
        <v>204.09998057689205</v>
      </c>
    </row>
    <row r="36" spans="4:17" ht="12.75">
      <c r="D36" s="15">
        <v>26</v>
      </c>
      <c r="E36" s="1">
        <f>D36*B10</f>
        <v>0.7575862068965518</v>
      </c>
      <c r="F36">
        <f>B4</f>
        <v>1.22</v>
      </c>
      <c r="G36" s="1">
        <f>$B6-E36</f>
        <v>2.8424137931034483</v>
      </c>
      <c r="H36" s="3">
        <f>$B5+E36</f>
        <v>1.1325862068965518</v>
      </c>
      <c r="I36" s="2">
        <f t="shared" si="0"/>
        <v>4.129219357263737</v>
      </c>
      <c r="J36" s="2">
        <f t="shared" si="1"/>
        <v>1.168986626400762</v>
      </c>
      <c r="K36" s="2">
        <f t="shared" si="2"/>
        <v>1.0074706848027837</v>
      </c>
      <c r="L36" s="2">
        <f t="shared" si="3"/>
        <v>0.16151594159797833</v>
      </c>
      <c r="M36" s="2">
        <f t="shared" si="4"/>
        <v>10.11366217668363</v>
      </c>
      <c r="N36" s="2">
        <f t="shared" si="5"/>
        <v>14.565913417143323</v>
      </c>
      <c r="O36" s="2">
        <f>N36*B3</f>
        <v>14.565913417143323</v>
      </c>
      <c r="P36" s="18">
        <f t="shared" si="6"/>
        <v>0.043706896551724106</v>
      </c>
      <c r="Q36" s="2">
        <f>O36/B12</f>
        <v>200.67842113806446</v>
      </c>
    </row>
    <row r="37" spans="4:17" ht="12.75">
      <c r="D37" s="15">
        <v>27</v>
      </c>
      <c r="E37" s="1">
        <f>D37*B10</f>
        <v>0.7867241379310345</v>
      </c>
      <c r="F37">
        <f>B4</f>
        <v>1.22</v>
      </c>
      <c r="G37" s="1">
        <f>$B6-E37</f>
        <v>2.8132758620689655</v>
      </c>
      <c r="H37" s="3">
        <f>$B5+E37</f>
        <v>1.1617241379310346</v>
      </c>
      <c r="I37" s="2">
        <f t="shared" si="0"/>
        <v>3.8293643310592675</v>
      </c>
      <c r="J37" s="2">
        <f t="shared" si="1"/>
        <v>1.168986626400762</v>
      </c>
      <c r="K37" s="2">
        <f t="shared" si="2"/>
        <v>1.0599756960363076</v>
      </c>
      <c r="L37" s="2">
        <f t="shared" si="3"/>
        <v>0.10901093036445442</v>
      </c>
      <c r="M37" s="2">
        <f t="shared" si="4"/>
        <v>10.267511684312513</v>
      </c>
      <c r="N37" s="2">
        <f t="shared" si="5"/>
        <v>14.314897876100689</v>
      </c>
      <c r="O37" s="2">
        <f>N37*B3</f>
        <v>14.314897876100689</v>
      </c>
      <c r="P37" s="18">
        <f t="shared" si="6"/>
        <v>0.0291379310344827</v>
      </c>
      <c r="Q37" s="2">
        <f>O37/B12</f>
        <v>197.22011399213113</v>
      </c>
    </row>
    <row r="38" spans="4:17" ht="12.75">
      <c r="D38" s="15">
        <v>28</v>
      </c>
      <c r="E38" s="1">
        <f>D38*$B$10</f>
        <v>0.8158620689655173</v>
      </c>
      <c r="F38">
        <f>$B$4</f>
        <v>1.22</v>
      </c>
      <c r="G38" s="1">
        <f>$B$6-E38</f>
        <v>2.7841379310344827</v>
      </c>
      <c r="H38" s="3">
        <f>$B$5+E38</f>
        <v>1.1908620689655174</v>
      </c>
      <c r="I38" s="2">
        <f t="shared" si="0"/>
        <v>3.534843848718006</v>
      </c>
      <c r="J38" s="2">
        <f t="shared" si="1"/>
        <v>1.168986626400762</v>
      </c>
      <c r="K38" s="2">
        <f t="shared" si="2"/>
        <v>1.113814343235634</v>
      </c>
      <c r="L38" s="2">
        <f t="shared" si="3"/>
        <v>0.05517228316512801</v>
      </c>
      <c r="M38" s="2">
        <f t="shared" si="4"/>
        <v>10.416026648078189</v>
      </c>
      <c r="N38" s="2">
        <f t="shared" si="5"/>
        <v>14.06121506312645</v>
      </c>
      <c r="O38" s="2">
        <f>N38*$B$3</f>
        <v>14.06121506312645</v>
      </c>
      <c r="P38" s="18">
        <f t="shared" si="6"/>
        <v>0.014568965517241295</v>
      </c>
      <c r="Q38" s="2">
        <f>O38/$B$12</f>
        <v>193.7250591390921</v>
      </c>
    </row>
    <row r="39" spans="1:17" ht="12.75">
      <c r="A39" t="s">
        <v>120</v>
      </c>
      <c r="D39" s="15">
        <v>29</v>
      </c>
      <c r="E39" s="1">
        <f>D39*$B$10</f>
        <v>0.845</v>
      </c>
      <c r="F39">
        <f>$B$4</f>
        <v>1.22</v>
      </c>
      <c r="G39" s="1">
        <f>$B$6-E39</f>
        <v>2.755</v>
      </c>
      <c r="H39" s="3">
        <f>$B$5+E39</f>
        <v>1.22</v>
      </c>
      <c r="I39" s="2">
        <f t="shared" si="0"/>
        <v>3.245657910239955</v>
      </c>
      <c r="J39" s="2">
        <f>((F39/2)^2)*PI()</f>
        <v>1.168986626400762</v>
      </c>
      <c r="K39" s="2">
        <f>((H39/2)^2)*PI()</f>
        <v>1.168986626400762</v>
      </c>
      <c r="L39" s="2">
        <f>J39-K39</f>
        <v>0</v>
      </c>
      <c r="M39" s="2">
        <f>(H39*PI())*G39</f>
        <v>10.559207067980653</v>
      </c>
      <c r="N39" s="2">
        <f t="shared" si="5"/>
        <v>13.804864978220607</v>
      </c>
      <c r="O39" s="2">
        <f>N39*$B$3</f>
        <v>13.804864978220607</v>
      </c>
      <c r="P39" s="18">
        <f t="shared" si="6"/>
        <v>0</v>
      </c>
      <c r="Q39" s="2">
        <f>O39/$B$12</f>
        <v>190.19325657894737</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2007-02-25T03:13:32Z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