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BatesCalc" sheetId="4" r:id="rId4"/>
    <sheet name="Constants" sheetId="5" r:id="rId5"/>
  </sheets>
  <definedNames/>
  <calcPr fullCalcOnLoad="1"/>
</workbook>
</file>

<file path=xl/sharedStrings.xml><?xml version="1.0" encoding="utf-8"?>
<sst xmlns="http://schemas.openxmlformats.org/spreadsheetml/2006/main" count="228" uniqueCount="173">
  <si>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</si>
  <si>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</si>
  <si>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</si>
  <si>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</si>
  <si>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</si>
  <si>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</si>
  <si>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</si>
  <si>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</si>
  <si>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</si>
  <si>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</si>
  <si>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</si>
  <si>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</si>
  <si>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</si>
  <si>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</si>
  <si>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</si>
  <si>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</si>
  <si>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</si>
  <si>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</si>
  <si>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</si>
  <si>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</si>
  <si>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</si>
  <si>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</si>
  <si>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</si>
  <si>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</si>
  <si>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</si>
  <si>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</si>
  <si>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</si>
  <si>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</si>
  <si>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</si>
  <si>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</si>
  <si>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</si>
  <si>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</si>
  <si>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</si>
  <si>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</si>
  <si>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</si>
  <si>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</si>
  <si>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</si>
  <si>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</si>
  <si>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</si>
  <si>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</si>
  <si>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</si>
  <si>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</si>
  <si>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</si>
  <si>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</si>
  <si>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</si>
  <si>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</si>
  <si>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</si>
  <si>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</si>
  <si>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</si>
  <si>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</si>
  <si>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</si>
  <si>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</si>
  <si>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</si>
  <si>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</si>
  <si>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</si>
  <si>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</si>
  <si>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</si>
  <si>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</si>
  <si>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</si>
  <si>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</si>
  <si>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</si>
  <si>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</si>
  <si>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</si>
  <si>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</si>
  <si>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</si>
  <si>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</si>
  <si>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</si>
  <si>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</si>
  <si>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</si>
  <si>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</si>
  <si>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</si>
  <si>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</si>
  <si>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</si>
  <si>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</si>
  <si>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</si>
  <si>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</si>
  <si>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Max thrust</t>
  </si>
  <si>
    <t>(KN/SU)</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</si>
  <si>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</si>
  <si>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</si>
  <si>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</si>
  <si>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</si>
  <si>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</si>
  <si>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</si>
  <si>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</si>
  <si>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</si>
  <si>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</si>
  <si>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</si>
  <si>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</si>
  <si>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</si>
  <si>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</si>
  <si>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</si>
  <si>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</si>
  <si>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</si>
  <si>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</si>
  <si>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</si>
  <si>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</si>
  <si>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</si>
  <si>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</si>
  <si>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</si>
  <si>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</si>
  <si>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</si>
  <si>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</si>
  <si>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</si>
  <si>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</si>
  <si>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seconds per linear inch at 1 atm</t>
  </si>
  <si>
    <t>Zero Value:</t>
  </si>
  <si>
    <t>Inhibited, core-burning</t>
  </si>
  <si>
    <t>KN/SU made with a mixture of candies</t>
  </si>
  <si>
    <t>Data from Test Stand C, 44lbf load cell, Amp C, gain set at 100 ohms</t>
  </si>
  <si>
    <t>Fuse paper ignitor, core plugged lightly with fuse paper</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</si>
  <si>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</si>
  <si>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</si>
  <si>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</si>
  <si>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</si>
  <si>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</si>
  <si>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</si>
  <si>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</si>
  <si>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</si>
  <si>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</si>
  <si>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</si>
  <si>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</si>
  <si>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</si>
  <si>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</si>
  <si>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</si>
  <si>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</si>
  <si>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</si>
  <si>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</si>
  <si>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</si>
  <si>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</si>
  <si>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</si>
  <si>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</si>
  <si>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</si>
  <si>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</si>
  <si>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</si>
  <si>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</si>
  <si>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</si>
  <si>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</si>
  <si>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</si>
  <si>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</si>
  <si>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</si>
  <si>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</si>
  <si>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Bates Grain Kn Calculator</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</si>
  <si>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</si>
  <si>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</si>
  <si>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</si>
  <si>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</si>
  <si>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</si>
  <si>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</si>
  <si>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</si>
  <si>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</si>
  <si>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</si>
  <si>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</si>
  <si>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</si>
  <si>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</si>
  <si>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</si>
  <si>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</si>
  <si>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This sample uses millimeters, but decimal inches works fine.</t>
  </si>
  <si>
    <t>(See Note 4)</t>
  </si>
  <si>
    <t>Core area:</t>
  </si>
  <si>
    <t>Core/nozzle ratio:</t>
  </si>
  <si>
    <t>Version 2m</t>
  </si>
  <si>
    <t>7-2-06D</t>
  </si>
  <si>
    <t>29mm inhibitor, 3.5 inch length makes 1 turn plus a little overlap</t>
  </si>
  <si>
    <t>per linear inch</t>
  </si>
  <si>
    <t>Tested on Stand A, 44lbf load cell</t>
  </si>
  <si>
    <t>INA 125 amp gain set to 100 ohms switch 5 on)</t>
  </si>
  <si>
    <t>Propellant made with mixed candies.  Was non-continuous, but added about 1% yellow iron oxide (Sakrete "buff")</t>
  </si>
  <si>
    <t>Burn rate 8 seconds per inch at 1 atmosphere</t>
  </si>
  <si>
    <t>Burn rate and pressure much higher than expected, making me wonder about the YIO and its burn rate exponent</t>
  </si>
  <si>
    <t>7/2/06D</t>
  </si>
  <si>
    <t>Zig-zag at beginning is thought to be 60Hz from ignitor.  Seen in 2 tests today - why never seen before is a mystery.</t>
  </si>
  <si>
    <t>29mm Loki motor, static test with two BATES grains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</si>
</sst>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29mm Loki motor, 2 BATES grains</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Data!$B$10:$B$164</c:f>
              <c:numCache>
                <c:ptCount val="155"/>
                <c:pt idx="0">
                  <c:v>-3.923460000221368E-06</c:v>
                </c:pt>
                <c:pt idx="1">
                  <c:v>2.67998822962</c:v>
                </c:pt>
                <c:pt idx="2">
                  <c:v>-2.67999607654</c:v>
                </c:pt>
                <c:pt idx="3">
                  <c:v>-5.35998822962</c:v>
                </c:pt>
                <c:pt idx="4">
                  <c:v>-0.14888390625000003</c:v>
                </c:pt>
                <c:pt idx="5">
                  <c:v>2.67998822962</c:v>
                </c:pt>
                <c:pt idx="6">
                  <c:v>-2.53111609375</c:v>
                </c:pt>
                <c:pt idx="7">
                  <c:v>-5.35998822962</c:v>
                </c:pt>
                <c:pt idx="8">
                  <c:v>-3.923460000221368E-06</c:v>
                </c:pt>
                <c:pt idx="9">
                  <c:v>2.82894444384</c:v>
                </c:pt>
                <c:pt idx="10">
                  <c:v>-2.53111609375</c:v>
                </c:pt>
                <c:pt idx="11">
                  <c:v>-5.211108246829999</c:v>
                </c:pt>
                <c:pt idx="12">
                  <c:v>-0.14888390625000003</c:v>
                </c:pt>
                <c:pt idx="13">
                  <c:v>2.82894444384</c:v>
                </c:pt>
                <c:pt idx="14">
                  <c:v>-2.084445652808</c:v>
                </c:pt>
                <c:pt idx="15">
                  <c:v>-4.76446829846</c:v>
                </c:pt>
                <c:pt idx="16">
                  <c:v>7.890863858700001</c:v>
                </c:pt>
                <c:pt idx="17">
                  <c:v>0.74447222192</c:v>
                </c:pt>
                <c:pt idx="18">
                  <c:v>-2.67999607654</c:v>
                </c:pt>
                <c:pt idx="19">
                  <c:v>-0.8933295590580002</c:v>
                </c:pt>
                <c:pt idx="20">
                  <c:v>-1.34</c:v>
                </c:pt>
                <c:pt idx="21">
                  <c:v>-1.34</c:v>
                </c:pt>
                <c:pt idx="22">
                  <c:v>-1.488887605933</c:v>
                </c:pt>
                <c:pt idx="23">
                  <c:v>-1.9355580468750002</c:v>
                </c:pt>
                <c:pt idx="24">
                  <c:v>-0.5955543471920001</c:v>
                </c:pt>
                <c:pt idx="25">
                  <c:v>2.5311082468299997</c:v>
                </c:pt>
                <c:pt idx="26">
                  <c:v>1.6378283500899997</c:v>
                </c:pt>
                <c:pt idx="27">
                  <c:v>12.8047418365</c:v>
                </c:pt>
                <c:pt idx="28">
                  <c:v>1.4888721358699997</c:v>
                </c:pt>
                <c:pt idx="29">
                  <c:v>1.9355883156699998</c:v>
                </c:pt>
                <c:pt idx="30">
                  <c:v>6.848780210600001</c:v>
                </c:pt>
                <c:pt idx="31">
                  <c:v>10.273096046200001</c:v>
                </c:pt>
                <c:pt idx="32">
                  <c:v>11.0178771173</c:v>
                </c:pt>
                <c:pt idx="33">
                  <c:v>10.5711609375</c:v>
                </c:pt>
                <c:pt idx="34">
                  <c:v>10.273096046200001</c:v>
                </c:pt>
                <c:pt idx="35">
                  <c:v>11.1665284058</c:v>
                </c:pt>
                <c:pt idx="36">
                  <c:v>12.5066769452</c:v>
                </c:pt>
                <c:pt idx="37">
                  <c:v>14.888909132699997</c:v>
                </c:pt>
                <c:pt idx="38">
                  <c:v>17.271141320199998</c:v>
                </c:pt>
                <c:pt idx="39">
                  <c:v>18.6112898596</c:v>
                </c:pt>
                <c:pt idx="40">
                  <c:v>19.6533735077</c:v>
                </c:pt>
                <c:pt idx="41">
                  <c:v>19.6533735077</c:v>
                </c:pt>
                <c:pt idx="42">
                  <c:v>20.3981545788</c:v>
                </c:pt>
                <c:pt idx="43">
                  <c:v>20.8448707586</c:v>
                </c:pt>
                <c:pt idx="44">
                  <c:v>23.524405523099997</c:v>
                </c:pt>
                <c:pt idx="45">
                  <c:v>25.4599215308</c:v>
                </c:pt>
                <c:pt idx="46">
                  <c:v>26.6514187817</c:v>
                </c:pt>
                <c:pt idx="47">
                  <c:v>28.140218609599998</c:v>
                </c:pt>
                <c:pt idx="48">
                  <c:v>28.140218609599998</c:v>
                </c:pt>
                <c:pt idx="49">
                  <c:v>29.0336509692</c:v>
                </c:pt>
                <c:pt idx="50">
                  <c:v>29.0336509692</c:v>
                </c:pt>
                <c:pt idx="51">
                  <c:v>30.6711020856</c:v>
                </c:pt>
                <c:pt idx="52">
                  <c:v>31.4158831567</c:v>
                </c:pt>
                <c:pt idx="53">
                  <c:v>32.457966804799995</c:v>
                </c:pt>
                <c:pt idx="54">
                  <c:v>32.9046829846</c:v>
                </c:pt>
                <c:pt idx="55">
                  <c:v>33.6487017414</c:v>
                </c:pt>
                <c:pt idx="56">
                  <c:v>34.095417921199996</c:v>
                </c:pt>
                <c:pt idx="57">
                  <c:v>34.840198992299996</c:v>
                </c:pt>
                <c:pt idx="58">
                  <c:v>35.4355664606</c:v>
                </c:pt>
                <c:pt idx="59">
                  <c:v>36.32899882019999</c:v>
                </c:pt>
                <c:pt idx="60">
                  <c:v>37.6691473596</c:v>
                </c:pt>
                <c:pt idx="61">
                  <c:v>38.71123100769999</c:v>
                </c:pt>
                <c:pt idx="62">
                  <c:v>38.562579719199995</c:v>
                </c:pt>
                <c:pt idx="63">
                  <c:v>39.4560120788</c:v>
                </c:pt>
                <c:pt idx="64">
                  <c:v>39.306598476</c:v>
                </c:pt>
                <c:pt idx="65">
                  <c:v>39.009295898999994</c:v>
                </c:pt>
                <c:pt idx="66">
                  <c:v>39.15794718749999</c:v>
                </c:pt>
                <c:pt idx="67">
                  <c:v>38.562579719199995</c:v>
                </c:pt>
                <c:pt idx="68">
                  <c:v>39.15794718749999</c:v>
                </c:pt>
                <c:pt idx="69">
                  <c:v>39.4560120788</c:v>
                </c:pt>
                <c:pt idx="70">
                  <c:v>39.4560120788</c:v>
                </c:pt>
                <c:pt idx="71">
                  <c:v>39.306598476</c:v>
                </c:pt>
                <c:pt idx="72">
                  <c:v>39.6046633673</c:v>
                </c:pt>
                <c:pt idx="73">
                  <c:v>39.306598476</c:v>
                </c:pt>
                <c:pt idx="74">
                  <c:v>39.6046633673</c:v>
                </c:pt>
                <c:pt idx="75">
                  <c:v>39.90272825859999</c:v>
                </c:pt>
                <c:pt idx="76">
                  <c:v>40.0513795471</c:v>
                </c:pt>
                <c:pt idx="77">
                  <c:v>39.7533146558</c:v>
                </c:pt>
                <c:pt idx="78">
                  <c:v>39.7533146558</c:v>
                </c:pt>
                <c:pt idx="79">
                  <c:v>39.6046633673</c:v>
                </c:pt>
                <c:pt idx="80">
                  <c:v>39.15794718749999</c:v>
                </c:pt>
                <c:pt idx="81">
                  <c:v>38.85988229619999</c:v>
                </c:pt>
                <c:pt idx="82">
                  <c:v>38.562579719199995</c:v>
                </c:pt>
                <c:pt idx="83">
                  <c:v>38.85988229619999</c:v>
                </c:pt>
                <c:pt idx="84">
                  <c:v>37.6691473596</c:v>
                </c:pt>
                <c:pt idx="85">
                  <c:v>35.88228264039999</c:v>
                </c:pt>
                <c:pt idx="86">
                  <c:v>35.286915172099995</c:v>
                </c:pt>
                <c:pt idx="87">
                  <c:v>34.3934828125</c:v>
                </c:pt>
                <c:pt idx="88">
                  <c:v>33.50005045289999</c:v>
                </c:pt>
                <c:pt idx="89">
                  <c:v>32.9046829846</c:v>
                </c:pt>
                <c:pt idx="90">
                  <c:v>32.309315516299996</c:v>
                </c:pt>
                <c:pt idx="91">
                  <c:v>31.117818265399993</c:v>
                </c:pt>
                <c:pt idx="92">
                  <c:v>30.0757346173</c:v>
                </c:pt>
                <c:pt idx="93">
                  <c:v>28.884237366399997</c:v>
                </c:pt>
                <c:pt idx="94">
                  <c:v>27.9915673211</c:v>
                </c:pt>
                <c:pt idx="95">
                  <c:v>27.395437538499998</c:v>
                </c:pt>
                <c:pt idx="96">
                  <c:v>26.3533538904</c:v>
                </c:pt>
                <c:pt idx="97">
                  <c:v>25.3112702423</c:v>
                </c:pt>
                <c:pt idx="98">
                  <c:v>24.4178378827</c:v>
                </c:pt>
                <c:pt idx="99">
                  <c:v>23.0776893433</c:v>
                </c:pt>
                <c:pt idx="100">
                  <c:v>22.482321875</c:v>
                </c:pt>
                <c:pt idx="101">
                  <c:v>21.1421733356</c:v>
                </c:pt>
                <c:pt idx="102">
                  <c:v>20.248740975999997</c:v>
                </c:pt>
                <c:pt idx="103">
                  <c:v>19.6533735077</c:v>
                </c:pt>
                <c:pt idx="104">
                  <c:v>18.6112898596</c:v>
                </c:pt>
                <c:pt idx="105">
                  <c:v>17.271141320199998</c:v>
                </c:pt>
                <c:pt idx="106">
                  <c:v>16.6757738519</c:v>
                </c:pt>
                <c:pt idx="107">
                  <c:v>16.229057672099998</c:v>
                </c:pt>
                <c:pt idx="108">
                  <c:v>15.186974024000001</c:v>
                </c:pt>
                <c:pt idx="109">
                  <c:v>13.995476773099998</c:v>
                </c:pt>
                <c:pt idx="110">
                  <c:v>13.400109304799999</c:v>
                </c:pt>
                <c:pt idx="111">
                  <c:v>12.6553282337</c:v>
                </c:pt>
                <c:pt idx="112">
                  <c:v>11.9113094769</c:v>
                </c:pt>
                <c:pt idx="113">
                  <c:v>10.8692258288</c:v>
                </c:pt>
                <c:pt idx="114">
                  <c:v>10.1244447577</c:v>
                </c:pt>
                <c:pt idx="115">
                  <c:v>9.6777285779</c:v>
                </c:pt>
                <c:pt idx="116">
                  <c:v>8.933709821099999</c:v>
                </c:pt>
                <c:pt idx="117">
                  <c:v>7.890863858700001</c:v>
                </c:pt>
                <c:pt idx="118">
                  <c:v>7.4441476789</c:v>
                </c:pt>
                <c:pt idx="119">
                  <c:v>6.9981938134</c:v>
                </c:pt>
                <c:pt idx="120">
                  <c:v>6.10445652808</c:v>
                </c:pt>
                <c:pt idx="121">
                  <c:v>5.6578165797099995</c:v>
                </c:pt>
                <c:pt idx="122">
                  <c:v>5.21117663134</c:v>
                </c:pt>
                <c:pt idx="123">
                  <c:v>4.764460451540001</c:v>
                </c:pt>
                <c:pt idx="124">
                  <c:v>4.31782050317</c:v>
                </c:pt>
                <c:pt idx="125">
                  <c:v>3.87110432337</c:v>
                </c:pt>
                <c:pt idx="126">
                  <c:v>3.57334435779</c:v>
                </c:pt>
                <c:pt idx="127">
                  <c:v>3.27558439221</c:v>
                </c:pt>
                <c:pt idx="128">
                  <c:v>2.82894444384</c:v>
                </c:pt>
                <c:pt idx="129">
                  <c:v>2.38222826404</c:v>
                </c:pt>
                <c:pt idx="130">
                  <c:v>2.2333482812499996</c:v>
                </c:pt>
                <c:pt idx="131">
                  <c:v>2.2333482812499996</c:v>
                </c:pt>
                <c:pt idx="132">
                  <c:v>1.9355883156699998</c:v>
                </c:pt>
                <c:pt idx="133">
                  <c:v>1.6378283500899997</c:v>
                </c:pt>
                <c:pt idx="134">
                  <c:v>1.4888721358699997</c:v>
                </c:pt>
                <c:pt idx="135">
                  <c:v>1.3399921530799996</c:v>
                </c:pt>
                <c:pt idx="136">
                  <c:v>1.1911121702899996</c:v>
                </c:pt>
                <c:pt idx="137">
                  <c:v>0.89335220471</c:v>
                </c:pt>
                <c:pt idx="138">
                  <c:v>0.89335220471</c:v>
                </c:pt>
                <c:pt idx="139">
                  <c:v>0.74447222192</c:v>
                </c:pt>
                <c:pt idx="140">
                  <c:v>0.5955922391300001</c:v>
                </c:pt>
                <c:pt idx="141">
                  <c:v>0.4467122563399999</c:v>
                </c:pt>
                <c:pt idx="142">
                  <c:v>0.4467122563399999</c:v>
                </c:pt>
                <c:pt idx="143">
                  <c:v>0.4467122563399999</c:v>
                </c:pt>
                <c:pt idx="144">
                  <c:v>0.14887605933000003</c:v>
                </c:pt>
                <c:pt idx="145">
                  <c:v>-3.923460000221368E-06</c:v>
                </c:pt>
                <c:pt idx="146">
                  <c:v>-3.923460000221368E-06</c:v>
                </c:pt>
                <c:pt idx="147">
                  <c:v>-0.14888390625000003</c:v>
                </c:pt>
                <c:pt idx="148">
                  <c:v>-0.29776388904000006</c:v>
                </c:pt>
                <c:pt idx="149">
                  <c:v>-0.4466438718300001</c:v>
                </c:pt>
                <c:pt idx="150">
                  <c:v>-0.29776388904000006</c:v>
                </c:pt>
                <c:pt idx="151">
                  <c:v>-0.29776388904000006</c:v>
                </c:pt>
                <c:pt idx="152">
                  <c:v>-0.5955543471920001</c:v>
                </c:pt>
                <c:pt idx="153">
                  <c:v>-0.744441953125</c:v>
                </c:pt>
                <c:pt idx="154">
                  <c:v>-0.744441953125</c:v>
                </c:pt>
              </c:numCache>
            </c:numRef>
          </c:val>
          <c:smooth val="0"/>
        </c:ser>
        <c:axId val="962363"/>
        <c:axId val="8661268"/>
      </c:lineChart>
      <c:catAx>
        <c:axId val="962363"/>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8661268"/>
        <c:crosses val="autoZero"/>
        <c:auto val="1"/>
        <c:lblOffset val="100"/>
        <c:noMultiLvlLbl val="0"/>
      </c:catAx>
      <c:valAx>
        <c:axId val="8661268"/>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962363"/>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Analysis!$K$43:$K$45</c:f>
              <c:numCache/>
            </c:numRef>
          </c:val>
          <c:smooth val="0"/>
        </c:ser>
        <c:axId val="10842549"/>
        <c:axId val="30474078"/>
      </c:lineChart>
      <c:catAx>
        <c:axId val="10842549"/>
        <c:scaling>
          <c:orientation val="minMax"/>
        </c:scaling>
        <c:axPos val="b"/>
        <c:delete val="0"/>
        <c:numFmt formatCode="General" sourceLinked="1"/>
        <c:majorTickMark val="out"/>
        <c:minorTickMark val="none"/>
        <c:tickLblPos val="nextTo"/>
        <c:crossAx val="30474078"/>
        <c:crosses val="autoZero"/>
        <c:auto val="1"/>
        <c:lblOffset val="100"/>
        <c:noMultiLvlLbl val="0"/>
      </c:catAx>
      <c:valAx>
        <c:axId val="30474078"/>
        <c:scaling>
          <c:orientation val="minMax"/>
          <c:max val="15"/>
          <c:min val="0"/>
        </c:scaling>
        <c:axPos val="l"/>
        <c:majorGridlines/>
        <c:delete val="0"/>
        <c:numFmt formatCode="General" sourceLinked="1"/>
        <c:majorTickMark val="out"/>
        <c:minorTickMark val="none"/>
        <c:tickLblPos val="nextTo"/>
        <c:crossAx val="10842549"/>
        <c:crossesAt val="1"/>
        <c:crossBetween val="between"/>
        <c:dispUnits/>
        <c:majorUnit val="3"/>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Data!$B$10:$B$164</c:f>
              <c:numCache/>
            </c:numRef>
          </c:val>
          <c:smooth val="0"/>
        </c:ser>
        <c:marker val="1"/>
        <c:axId val="5831247"/>
        <c:axId val="52481224"/>
      </c:lineChart>
      <c:catAx>
        <c:axId val="5831247"/>
        <c:scaling>
          <c:orientation val="minMax"/>
        </c:scaling>
        <c:axPos val="b"/>
        <c:delete val="0"/>
        <c:numFmt formatCode="General" sourceLinked="1"/>
        <c:majorTickMark val="out"/>
        <c:minorTickMark val="none"/>
        <c:tickLblPos val="nextTo"/>
        <c:crossAx val="52481224"/>
        <c:crosses val="autoZero"/>
        <c:auto val="1"/>
        <c:lblOffset val="100"/>
        <c:noMultiLvlLbl val="0"/>
      </c:catAx>
      <c:valAx>
        <c:axId val="52481224"/>
        <c:scaling>
          <c:orientation val="minMax"/>
        </c:scaling>
        <c:axPos val="l"/>
        <c:majorGridlines/>
        <c:delete val="0"/>
        <c:numFmt formatCode="General" sourceLinked="1"/>
        <c:majorTickMark val="out"/>
        <c:minorTickMark val="none"/>
        <c:tickLblPos val="nextTo"/>
        <c:crossAx val="5831247"/>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
          <c:y val="0.0365"/>
          <c:w val="0.8242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BatesCalc!$Q$10:$Q$39</c:f>
              <c:numCache/>
            </c:numRef>
          </c:val>
          <c:smooth val="0"/>
        </c:ser>
        <c:axId val="2568969"/>
        <c:axId val="23120722"/>
      </c:lineChart>
      <c:catAx>
        <c:axId val="2568969"/>
        <c:scaling>
          <c:orientation val="minMax"/>
        </c:scaling>
        <c:axPos val="b"/>
        <c:delete val="0"/>
        <c:numFmt formatCode="General" sourceLinked="1"/>
        <c:majorTickMark val="out"/>
        <c:minorTickMark val="none"/>
        <c:tickLblPos val="nextTo"/>
        <c:crossAx val="23120722"/>
        <c:crosses val="autoZero"/>
        <c:auto val="1"/>
        <c:lblOffset val="100"/>
        <c:noMultiLvlLbl val="0"/>
      </c:catAx>
      <c:valAx>
        <c:axId val="23120722"/>
        <c:scaling>
          <c:orientation val="minMax"/>
          <c:max val="350"/>
          <c:min val="0"/>
        </c:scaling>
        <c:axPos val="l"/>
        <c:majorGridlines/>
        <c:delete val="0"/>
        <c:numFmt formatCode="0" sourceLinked="0"/>
        <c:majorTickMark val="out"/>
        <c:minorTickMark val="none"/>
        <c:tickLblPos val="nextTo"/>
        <c:crossAx val="2568969"/>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0.05075</cdr:y>
    </cdr:from>
    <cdr:to>
      <cdr:x>0.568</cdr:x>
      <cdr:y>0.14325</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29mm Loki motor
2 BATES grains, inhibited with 1 layer posterboard stuck on with epoxy.  Coverd with 1 layer Nashua 324A
Case liner is 2 turns posterboard, covered with 1 layer Nashua 324A
Propellant was made from a mixture of hard candies and food-grade KNO3 as part of demo being videotaped.  Candies would have included such things as lemon drops, Jolly Ranchers, Starlight mints, Lifesavers, Pixy Stix.
It had cooked so much yesterday and today as to be brownish and not-at-all continuous.  So some Sakrete "buff" concrete coloring added, just a guess at 1 percent.  This sped the 1 atm burn rate to 8 seconds per inch.
Ignition is quick, thrust is high, burn is quick too.  Faster than anticipated, and pressure is higher than predicted.  I wonder if this is due to the yellow iron oxide?  
Will do some re-tests with RIO to see what gives.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28612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0668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25908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664845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2657475" y="95250"/>
          <a:ext cx="5143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2619375" y="276225"/>
          <a:ext cx="5524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2619375" y="295275"/>
          <a:ext cx="5524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2619375" y="314325"/>
          <a:ext cx="5524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2628900" y="323850"/>
          <a:ext cx="56197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162</v>
      </c>
      <c r="C1" t="s">
        <v>172</v>
      </c>
    </row>
    <row r="2" ht="12.75">
      <c r="C2" t="s">
        <v>167</v>
      </c>
    </row>
    <row r="3" ht="12.75">
      <c r="C3" t="s">
        <v>168</v>
      </c>
    </row>
    <row r="4" ht="12.75">
      <c r="C4" t="s">
        <v>110</v>
      </c>
    </row>
    <row r="5" ht="12.75">
      <c r="C5" t="s">
        <v>169</v>
      </c>
    </row>
    <row r="6" ht="12.75">
      <c r="C6" t="s">
        <v>171</v>
      </c>
    </row>
    <row r="8" spans="3:7" ht="12.75">
      <c r="C8" t="s">
        <v>6</v>
      </c>
      <c r="F8" t="s">
        <v>6</v>
      </c>
      <c r="G8" t="s">
        <v>6</v>
      </c>
    </row>
    <row r="9" spans="9:13" ht="12.75">
      <c r="I9" t="s">
        <v>47</v>
      </c>
      <c r="J9">
        <v>1</v>
      </c>
      <c r="K9">
        <v>2</v>
      </c>
      <c r="L9">
        <v>3</v>
      </c>
      <c r="M9">
        <v>4</v>
      </c>
    </row>
    <row r="10" spans="9:10" ht="12.75">
      <c r="I10" t="s">
        <v>13</v>
      </c>
      <c r="J10" s="5" t="s">
        <v>107</v>
      </c>
    </row>
    <row r="11" spans="9:10" ht="12.75">
      <c r="I11" t="s">
        <v>14</v>
      </c>
      <c r="J11" t="s">
        <v>108</v>
      </c>
    </row>
    <row r="12" spans="9:11" ht="12.75">
      <c r="I12" t="s">
        <v>15</v>
      </c>
      <c r="J12">
        <v>8</v>
      </c>
      <c r="K12" t="s">
        <v>105</v>
      </c>
    </row>
    <row r="13" spans="11:19" ht="12.75">
      <c r="K13" t="s">
        <v>6</v>
      </c>
      <c r="N13" t="s">
        <v>42</v>
      </c>
      <c r="P13" t="s">
        <v>56</v>
      </c>
      <c r="R13">
        <v>0.56</v>
      </c>
      <c r="S13" t="s">
        <v>43</v>
      </c>
    </row>
    <row r="14" spans="9:16" ht="12.75">
      <c r="I14" t="s">
        <v>18</v>
      </c>
      <c r="J14">
        <v>1.63</v>
      </c>
      <c r="K14">
        <v>1.575</v>
      </c>
      <c r="L14" t="s">
        <v>6</v>
      </c>
      <c r="N14" s="1">
        <f>SUM(J14:M14)</f>
        <v>3.205</v>
      </c>
      <c r="O14" t="s">
        <v>11</v>
      </c>
      <c r="P14" t="s">
        <v>6</v>
      </c>
    </row>
    <row r="15" spans="9:16" ht="12.75">
      <c r="I15" t="s">
        <v>16</v>
      </c>
      <c r="J15">
        <v>0.9</v>
      </c>
      <c r="K15">
        <v>0.9</v>
      </c>
      <c r="L15" t="s">
        <v>6</v>
      </c>
      <c r="N15" s="1">
        <f>AVERAGE(J15:M15)</f>
        <v>0.9</v>
      </c>
      <c r="O15" t="s">
        <v>11</v>
      </c>
      <c r="P15" t="s">
        <v>6</v>
      </c>
    </row>
    <row r="16" spans="9:15" ht="12.75">
      <c r="I16" t="s">
        <v>17</v>
      </c>
      <c r="J16">
        <v>0.325</v>
      </c>
      <c r="K16">
        <v>0.325</v>
      </c>
      <c r="N16" s="1">
        <f>AVERAGE(J16:M16)</f>
        <v>0.325</v>
      </c>
      <c r="O16" t="s">
        <v>51</v>
      </c>
    </row>
    <row r="17" spans="9:16" ht="12.75">
      <c r="I17" t="s">
        <v>50</v>
      </c>
      <c r="J17">
        <v>22.4</v>
      </c>
      <c r="K17">
        <v>22.6</v>
      </c>
      <c r="N17" s="1">
        <f>SUM(J17:M17)</f>
        <v>45</v>
      </c>
      <c r="O17" t="s">
        <v>23</v>
      </c>
      <c r="P17" t="s">
        <v>6</v>
      </c>
    </row>
    <row r="18" spans="9:15" ht="12.75">
      <c r="I18" t="s">
        <v>37</v>
      </c>
      <c r="J18">
        <f>(J15-J16)/2</f>
        <v>0.2875</v>
      </c>
      <c r="K18">
        <f>(K15-K16)/2</f>
        <v>0.2875</v>
      </c>
      <c r="L18" t="s">
        <v>6</v>
      </c>
      <c r="M18">
        <f>(M15-M16)/2</f>
        <v>0</v>
      </c>
      <c r="N18" s="1">
        <f>AVERAGE(J18:J18)</f>
        <v>0.2875</v>
      </c>
      <c r="O18" t="s">
        <v>11</v>
      </c>
    </row>
    <row r="19" spans="9:15" ht="12.75">
      <c r="I19" t="s">
        <v>41</v>
      </c>
      <c r="J19">
        <f>J17-(J14*R13)</f>
        <v>21.487199999999998</v>
      </c>
      <c r="K19">
        <f>K17-(K14*R13)</f>
        <v>21.718</v>
      </c>
      <c r="L19" t="s">
        <v>6</v>
      </c>
      <c r="M19">
        <f>M17-(R13*M14)</f>
        <v>0</v>
      </c>
      <c r="N19" s="1">
        <f>SUM(J19:M19)</f>
        <v>43.2052</v>
      </c>
      <c r="O19" t="s">
        <v>23</v>
      </c>
    </row>
    <row r="21" ht="12.75">
      <c r="I21" t="s">
        <v>9</v>
      </c>
    </row>
    <row r="22" spans="9:11" ht="12.75">
      <c r="I22" t="s">
        <v>19</v>
      </c>
      <c r="J22" s="1">
        <v>0.203</v>
      </c>
      <c r="K22" t="s">
        <v>11</v>
      </c>
    </row>
    <row r="23" spans="9:11" ht="12.75">
      <c r="I23" t="s">
        <v>20</v>
      </c>
      <c r="J23">
        <v>0.203</v>
      </c>
      <c r="K23" t="s">
        <v>11</v>
      </c>
    </row>
    <row r="24" spans="9:13" ht="12.75">
      <c r="I24" t="s">
        <v>39</v>
      </c>
      <c r="J24" s="1">
        <f>J23-J22</f>
        <v>0</v>
      </c>
      <c r="K24" t="s">
        <v>11</v>
      </c>
      <c r="L24">
        <f>(J24/J22)*100</f>
        <v>0</v>
      </c>
      <c r="M24" t="s">
        <v>81</v>
      </c>
    </row>
    <row r="26" spans="10:11" ht="12.75">
      <c r="J26" t="s">
        <v>21</v>
      </c>
      <c r="K26" t="s">
        <v>77</v>
      </c>
    </row>
    <row r="27" spans="9:14" ht="12.75">
      <c r="I27" t="s">
        <v>8</v>
      </c>
      <c r="J27">
        <v>166</v>
      </c>
      <c r="K27">
        <v>500</v>
      </c>
      <c r="M27" t="s">
        <v>78</v>
      </c>
      <c r="N27" t="s">
        <v>44</v>
      </c>
    </row>
    <row r="28" spans="9:15" ht="12.75">
      <c r="I28" t="s">
        <v>22</v>
      </c>
      <c r="J28">
        <v>197</v>
      </c>
      <c r="K28">
        <v>650</v>
      </c>
      <c r="M28" t="s">
        <v>78</v>
      </c>
      <c r="N28" t="s">
        <v>33</v>
      </c>
      <c r="O28">
        <f>((J22/2)^2)*PI()</f>
        <v>0.03236547291544545</v>
      </c>
    </row>
    <row r="29" spans="9:15" ht="12.75">
      <c r="I29" t="s">
        <v>10</v>
      </c>
      <c r="J29">
        <v>177</v>
      </c>
      <c r="K29">
        <v>500</v>
      </c>
      <c r="M29" t="s">
        <v>78</v>
      </c>
      <c r="N29" t="s">
        <v>35</v>
      </c>
      <c r="O29">
        <f>C32/O28</f>
        <v>1237.4724031295302</v>
      </c>
    </row>
    <row r="30" spans="9:14" ht="12.75">
      <c r="I30" t="s">
        <v>36</v>
      </c>
      <c r="J30">
        <f>(N18/C34)</f>
        <v>0.7263157894736841</v>
      </c>
      <c r="K30" t="s">
        <v>38</v>
      </c>
      <c r="N30" t="s">
        <v>45</v>
      </c>
    </row>
    <row r="31" ht="12.75">
      <c r="L31" t="s">
        <v>79</v>
      </c>
    </row>
    <row r="32" spans="1:4" ht="12.75">
      <c r="A32" t="s">
        <v>12</v>
      </c>
      <c r="C32" s="2">
        <f>MAX(Data!B10:B500)</f>
        <v>40.0513795471</v>
      </c>
      <c r="D32" t="s">
        <v>30</v>
      </c>
    </row>
    <row r="33" spans="1:7" ht="12.75">
      <c r="A33" t="s">
        <v>2</v>
      </c>
      <c r="C33" s="2">
        <f>AVERAGE(Data!B40:B135)</f>
        <v>25.359301601741777</v>
      </c>
      <c r="D33" t="s">
        <v>27</v>
      </c>
      <c r="F33" t="s">
        <v>6</v>
      </c>
      <c r="G33" t="s">
        <v>6</v>
      </c>
    </row>
    <row r="34" spans="1:4" ht="12.75">
      <c r="A34" t="s">
        <v>0</v>
      </c>
      <c r="C34" s="2">
        <f>(135-40)/240</f>
        <v>0.3958333333333333</v>
      </c>
      <c r="D34" t="s">
        <v>31</v>
      </c>
    </row>
    <row r="35" spans="1:6" ht="12.75">
      <c r="A35" t="s">
        <v>3</v>
      </c>
      <c r="C35" s="2">
        <f>((SUM(Data!B40:B135))/240)</f>
        <v>10.14372064069671</v>
      </c>
      <c r="D35" t="s">
        <v>4</v>
      </c>
      <c r="F35" t="s">
        <v>6</v>
      </c>
    </row>
    <row r="36" spans="1:9" ht="12.75">
      <c r="A36" t="s">
        <v>3</v>
      </c>
      <c r="C36" s="2">
        <f>C35*4.448</f>
        <v>45.11926940981897</v>
      </c>
      <c r="D36" t="s">
        <v>5</v>
      </c>
      <c r="H36" t="s">
        <v>165</v>
      </c>
      <c r="I36" s="3"/>
    </row>
    <row r="37" spans="1:8" ht="12.75">
      <c r="A37" t="s">
        <v>70</v>
      </c>
      <c r="C37" s="1">
        <f>(N19)/1000</f>
        <v>0.0432052</v>
      </c>
      <c r="D37" t="s">
        <v>49</v>
      </c>
      <c r="H37" t="s">
        <v>166</v>
      </c>
    </row>
    <row r="38" spans="1:14" ht="12.75">
      <c r="A38" t="s">
        <v>70</v>
      </c>
      <c r="C38" s="3">
        <f>C37/453.54*1000</f>
        <v>0.09526215989769368</v>
      </c>
      <c r="D38" t="s">
        <v>7</v>
      </c>
      <c r="M38" t="s">
        <v>106</v>
      </c>
      <c r="N38">
        <v>4.57</v>
      </c>
    </row>
    <row r="39" spans="1:4" ht="12.75">
      <c r="A39" t="s">
        <v>104</v>
      </c>
      <c r="C39" s="2">
        <f>(C36/C37)/9.8</f>
        <v>106.56141118741698</v>
      </c>
      <c r="D39" t="s">
        <v>1</v>
      </c>
    </row>
    <row r="40" spans="8:11" ht="12.75">
      <c r="H40" t="s">
        <v>46</v>
      </c>
      <c r="I40" t="s">
        <v>24</v>
      </c>
      <c r="J40" t="s">
        <v>25</v>
      </c>
      <c r="K40" t="s">
        <v>26</v>
      </c>
    </row>
    <row r="41" spans="1:9" ht="12.75">
      <c r="A41" s="4"/>
      <c r="I41" s="3"/>
    </row>
    <row r="42" spans="8:11" ht="12.75">
      <c r="H42">
        <v>0</v>
      </c>
      <c r="I42" s="3">
        <f>-4.57+N38</f>
        <v>0</v>
      </c>
      <c r="J42">
        <v>0</v>
      </c>
      <c r="K42">
        <v>0</v>
      </c>
    </row>
    <row r="43" spans="8:11" ht="12.75">
      <c r="H43">
        <v>10</v>
      </c>
      <c r="I43" s="3">
        <v>1.23</v>
      </c>
      <c r="J43">
        <f>(I43)/H43</f>
        <v>0.123</v>
      </c>
      <c r="K43">
        <f>1/J43</f>
        <v>8.130081300813009</v>
      </c>
    </row>
    <row r="44" spans="1:11" ht="12.75">
      <c r="A44" t="s">
        <v>29</v>
      </c>
      <c r="H44">
        <v>15</v>
      </c>
      <c r="I44" s="3">
        <v>1.895</v>
      </c>
      <c r="J44">
        <f>(I44)/H44</f>
        <v>0.12633333333333333</v>
      </c>
      <c r="K44">
        <f>1/J44</f>
        <v>7.9155672823219</v>
      </c>
    </row>
    <row r="45" spans="1:11" ht="12.75">
      <c r="A45" t="s">
        <v>32</v>
      </c>
      <c r="H45">
        <v>20</v>
      </c>
      <c r="I45" s="3">
        <v>2.52</v>
      </c>
      <c r="J45">
        <f>(I45)/H45</f>
        <v>0.126</v>
      </c>
      <c r="K45">
        <f>1/J45</f>
        <v>7.936507936507937</v>
      </c>
    </row>
    <row r="46" spans="8:11" ht="12.75">
      <c r="H46">
        <v>25</v>
      </c>
      <c r="I46" s="3">
        <v>3.84</v>
      </c>
      <c r="J46">
        <f>(I46)/H46</f>
        <v>0.1536</v>
      </c>
      <c r="K46">
        <f>1/J46</f>
        <v>6.510416666666667</v>
      </c>
    </row>
    <row r="47" spans="1:9" ht="12.75">
      <c r="A47" t="s">
        <v>6</v>
      </c>
      <c r="G47" t="s">
        <v>6</v>
      </c>
      <c r="I47" s="3"/>
    </row>
    <row r="48" ht="12.75">
      <c r="I48" s="3"/>
    </row>
    <row r="49" ht="12.75">
      <c r="I49" s="3"/>
    </row>
    <row r="50" spans="1:9" ht="12.75">
      <c r="A50" t="s">
        <v>80</v>
      </c>
      <c r="I50" s="3"/>
    </row>
    <row r="51" spans="1:9" ht="12.75">
      <c r="A51" t="s">
        <v>103</v>
      </c>
      <c r="B51">
        <v>1.09</v>
      </c>
      <c r="C51" t="s">
        <v>54</v>
      </c>
      <c r="D51">
        <f>B52-B51</f>
        <v>0.19999999999999996</v>
      </c>
      <c r="E51" t="s">
        <v>55</v>
      </c>
      <c r="I51" s="3"/>
    </row>
    <row r="52" spans="1:11" ht="12.75">
      <c r="A52" t="s">
        <v>52</v>
      </c>
      <c r="B52">
        <v>1.29</v>
      </c>
      <c r="I52" s="7" t="s">
        <v>67</v>
      </c>
      <c r="J52">
        <f>AVERAGE(J44:J50)</f>
        <v>0.13531111111111108</v>
      </c>
      <c r="K52">
        <f>AVERAGE(K43:K46)</f>
        <v>7.623143296577378</v>
      </c>
    </row>
    <row r="53" spans="1:11" ht="12.75">
      <c r="A53" t="s">
        <v>76</v>
      </c>
      <c r="B53">
        <v>1.49</v>
      </c>
      <c r="K53" t="s">
        <v>71</v>
      </c>
    </row>
    <row r="54" spans="1:11" ht="12.75">
      <c r="A54" t="s">
        <v>53</v>
      </c>
      <c r="B54">
        <v>1.69</v>
      </c>
      <c r="C54" t="s">
        <v>0</v>
      </c>
      <c r="D54">
        <f>B54-B52</f>
        <v>0.3999999999999999</v>
      </c>
      <c r="E54" t="s">
        <v>55</v>
      </c>
      <c r="K54" t="s">
        <v>72</v>
      </c>
    </row>
    <row r="55" spans="1:5" ht="12.75">
      <c r="A55" t="s">
        <v>6</v>
      </c>
      <c r="B55" t="s">
        <v>6</v>
      </c>
      <c r="C55" t="s">
        <v>6</v>
      </c>
      <c r="D55" t="s">
        <v>6</v>
      </c>
      <c r="E55" t="s">
        <v>6</v>
      </c>
    </row>
    <row r="58" ht="12.75">
      <c r="D58" s="2"/>
    </row>
    <row r="59" ht="12.75">
      <c r="A59" t="s">
        <v>73</v>
      </c>
    </row>
    <row r="60" ht="12.75">
      <c r="A60" s="8">
        <v>38900</v>
      </c>
    </row>
    <row r="61" ht="12.75">
      <c r="A61" s="9" t="s">
        <v>74</v>
      </c>
    </row>
    <row r="62" spans="1:6" ht="12.75">
      <c r="A62" s="9" t="s">
        <v>75</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109</v>
      </c>
    </row>
    <row r="9" spans="1:5" ht="12.75">
      <c r="A9" t="s">
        <v>24</v>
      </c>
      <c r="B9" t="s">
        <v>28</v>
      </c>
      <c r="D9" t="s">
        <v>34</v>
      </c>
      <c r="E9" t="s">
        <v>40</v>
      </c>
    </row>
    <row r="10" spans="1:5" ht="12.75">
      <c r="A10" s="6">
        <v>0.17578</v>
      </c>
      <c r="B10" s="1">
        <f>(A10*7.623143)-1.34</f>
        <v>-3.923460000221368E-06</v>
      </c>
      <c r="C10" t="s">
        <v>6</v>
      </c>
      <c r="D10" s="2">
        <f>MAX(B10:B384)</f>
        <v>40.0513795471</v>
      </c>
      <c r="E10">
        <f>D10/10</f>
        <v>4.0051379547099994</v>
      </c>
    </row>
    <row r="11" spans="1:3" ht="12.75">
      <c r="A11" s="6">
        <v>0.52734</v>
      </c>
      <c r="B11" s="1">
        <f aca="true" t="shared" si="0" ref="B11:B74">(A11*7.623143)-1.34</f>
        <v>2.67998822962</v>
      </c>
      <c r="C11" t="s">
        <v>6</v>
      </c>
    </row>
    <row r="12" spans="1:2" ht="12.75">
      <c r="A12" s="6">
        <v>-0.17578</v>
      </c>
      <c r="B12" s="1">
        <f t="shared" si="0"/>
        <v>-2.67999607654</v>
      </c>
    </row>
    <row r="13" spans="1:4" ht="12.75">
      <c r="A13" s="6">
        <v>-0.52734</v>
      </c>
      <c r="B13" s="1">
        <f t="shared" si="0"/>
        <v>-5.35998822962</v>
      </c>
      <c r="D13" t="s">
        <v>6</v>
      </c>
    </row>
    <row r="14" spans="1:4" ht="12.75">
      <c r="A14" s="6">
        <v>0.15625</v>
      </c>
      <c r="B14" s="1">
        <f t="shared" si="0"/>
        <v>-0.14888390625000003</v>
      </c>
      <c r="D14" t="s">
        <v>6</v>
      </c>
    </row>
    <row r="15" spans="1:4" ht="12.75">
      <c r="A15" s="6">
        <v>0.52734</v>
      </c>
      <c r="B15" s="1">
        <f t="shared" si="0"/>
        <v>2.67998822962</v>
      </c>
      <c r="D15" t="s">
        <v>6</v>
      </c>
    </row>
    <row r="16" spans="1:2" ht="12.75">
      <c r="A16" s="6">
        <v>-0.15625</v>
      </c>
      <c r="B16" s="1">
        <f t="shared" si="0"/>
        <v>-2.53111609375</v>
      </c>
    </row>
    <row r="17" spans="1:2" ht="12.75">
      <c r="A17" s="6">
        <v>-0.52734</v>
      </c>
      <c r="B17" s="1">
        <f t="shared" si="0"/>
        <v>-5.35998822962</v>
      </c>
    </row>
    <row r="18" spans="1:2" ht="12.75">
      <c r="A18" s="6">
        <v>0.17578</v>
      </c>
      <c r="B18" s="1">
        <f t="shared" si="0"/>
        <v>-3.923460000221368E-06</v>
      </c>
    </row>
    <row r="19" spans="1:2" ht="12.75">
      <c r="A19" s="6">
        <v>0.54688</v>
      </c>
      <c r="B19" s="1">
        <f t="shared" si="0"/>
        <v>2.82894444384</v>
      </c>
    </row>
    <row r="20" spans="1:2" ht="12.75">
      <c r="A20" s="6">
        <v>-0.15625</v>
      </c>
      <c r="B20" s="1">
        <f t="shared" si="0"/>
        <v>-2.53111609375</v>
      </c>
    </row>
    <row r="21" spans="1:2" ht="12.75">
      <c r="A21" s="6">
        <v>-0.50781</v>
      </c>
      <c r="B21" s="1">
        <f t="shared" si="0"/>
        <v>-5.211108246829999</v>
      </c>
    </row>
    <row r="22" spans="1:2" ht="12.75">
      <c r="A22" s="6">
        <v>0.15625</v>
      </c>
      <c r="B22" s="1">
        <f t="shared" si="0"/>
        <v>-0.14888390625000003</v>
      </c>
    </row>
    <row r="23" spans="1:3" ht="12.75">
      <c r="A23" s="6">
        <v>0.54688</v>
      </c>
      <c r="B23" s="1">
        <f t="shared" si="0"/>
        <v>2.82894444384</v>
      </c>
      <c r="C23" t="s">
        <v>6</v>
      </c>
    </row>
    <row r="24" spans="1:2" ht="12.75">
      <c r="A24" s="6">
        <v>-0.097656</v>
      </c>
      <c r="B24" s="1">
        <f t="shared" si="0"/>
        <v>-2.084445652808</v>
      </c>
    </row>
    <row r="25" spans="1:2" ht="12.75">
      <c r="A25" s="6">
        <v>-0.44922</v>
      </c>
      <c r="B25" s="1">
        <f t="shared" si="0"/>
        <v>-4.76446829846</v>
      </c>
    </row>
    <row r="26" spans="1:2" ht="12.75">
      <c r="A26" s="6">
        <v>1.2109</v>
      </c>
      <c r="B26" s="1">
        <f t="shared" si="0"/>
        <v>7.890863858700001</v>
      </c>
    </row>
    <row r="27" spans="1:2" ht="12.75">
      <c r="A27" s="6">
        <v>0.27344</v>
      </c>
      <c r="B27" s="1">
        <f t="shared" si="0"/>
        <v>0.74447222192</v>
      </c>
    </row>
    <row r="28" spans="1:2" ht="12.75">
      <c r="A28" s="6">
        <v>-0.17578</v>
      </c>
      <c r="B28" s="1">
        <f t="shared" si="0"/>
        <v>-2.67999607654</v>
      </c>
    </row>
    <row r="29" spans="1:2" ht="12.75">
      <c r="A29" s="6">
        <v>0.058594</v>
      </c>
      <c r="B29" s="1">
        <f t="shared" si="0"/>
        <v>-0.8933295590580002</v>
      </c>
    </row>
    <row r="30" spans="1:2" ht="12.75">
      <c r="A30" s="6">
        <v>0</v>
      </c>
      <c r="B30" s="1">
        <f t="shared" si="0"/>
        <v>-1.34</v>
      </c>
    </row>
    <row r="31" spans="1:2" ht="12.75">
      <c r="A31" s="6">
        <v>0</v>
      </c>
      <c r="B31" s="1">
        <f t="shared" si="0"/>
        <v>-1.34</v>
      </c>
    </row>
    <row r="32" spans="1:2" ht="12.75">
      <c r="A32" s="6">
        <v>-0.019531</v>
      </c>
      <c r="B32" s="1">
        <f t="shared" si="0"/>
        <v>-1.488887605933</v>
      </c>
    </row>
    <row r="33" spans="1:2" ht="12.75">
      <c r="A33" s="6">
        <v>-0.078125</v>
      </c>
      <c r="B33" s="1">
        <f t="shared" si="0"/>
        <v>-1.9355580468750002</v>
      </c>
    </row>
    <row r="34" spans="1:2" ht="12.75">
      <c r="A34" s="6">
        <v>0.097656</v>
      </c>
      <c r="B34" s="1">
        <f t="shared" si="0"/>
        <v>-0.5955543471920001</v>
      </c>
    </row>
    <row r="35" spans="1:2" ht="12.75">
      <c r="A35" s="6">
        <v>0.50781</v>
      </c>
      <c r="B35" s="1">
        <f t="shared" si="0"/>
        <v>2.5311082468299997</v>
      </c>
    </row>
    <row r="36" spans="1:3" ht="12.75">
      <c r="A36" s="6">
        <v>0.39063</v>
      </c>
      <c r="B36" s="1">
        <f t="shared" si="0"/>
        <v>1.6378283500899997</v>
      </c>
      <c r="C36" s="1"/>
    </row>
    <row r="37" spans="1:2" ht="12.75">
      <c r="A37" s="6">
        <v>1.8555</v>
      </c>
      <c r="B37" s="1">
        <f t="shared" si="0"/>
        <v>12.8047418365</v>
      </c>
    </row>
    <row r="38" spans="1:2" ht="12.75">
      <c r="A38" s="6">
        <v>0.37109</v>
      </c>
      <c r="B38" s="1">
        <f t="shared" si="0"/>
        <v>1.4888721358699997</v>
      </c>
    </row>
    <row r="39" spans="1:2" ht="12.75">
      <c r="A39" s="6">
        <v>0.42969</v>
      </c>
      <c r="B39" s="1">
        <f t="shared" si="0"/>
        <v>1.9355883156699998</v>
      </c>
    </row>
    <row r="40" spans="1:3" ht="12.75">
      <c r="A40" s="6">
        <v>1.0742</v>
      </c>
      <c r="B40" s="1">
        <f t="shared" si="0"/>
        <v>6.848780210600001</v>
      </c>
      <c r="C40" t="s">
        <v>48</v>
      </c>
    </row>
    <row r="41" spans="1:2" ht="12.75">
      <c r="A41" s="6">
        <v>1.5234</v>
      </c>
      <c r="B41" s="1">
        <f t="shared" si="0"/>
        <v>10.273096046200001</v>
      </c>
    </row>
    <row r="42" spans="1:2" ht="12.75">
      <c r="A42" s="6">
        <v>1.6211</v>
      </c>
      <c r="B42" s="1">
        <f t="shared" si="0"/>
        <v>11.0178771173</v>
      </c>
    </row>
    <row r="43" spans="1:2" ht="12.75">
      <c r="A43" s="6">
        <v>1.5625</v>
      </c>
      <c r="B43" s="1">
        <f t="shared" si="0"/>
        <v>10.5711609375</v>
      </c>
    </row>
    <row r="44" spans="1:2" ht="12.75">
      <c r="A44" s="6">
        <v>1.5234</v>
      </c>
      <c r="B44" s="1">
        <f t="shared" si="0"/>
        <v>10.273096046200001</v>
      </c>
    </row>
    <row r="45" spans="1:2" ht="12.75">
      <c r="A45" s="6">
        <v>1.6406</v>
      </c>
      <c r="B45" s="1">
        <f t="shared" si="0"/>
        <v>11.1665284058</v>
      </c>
    </row>
    <row r="46" spans="1:2" ht="12.75">
      <c r="A46" s="6">
        <v>1.8164</v>
      </c>
      <c r="B46" s="1">
        <f t="shared" si="0"/>
        <v>12.5066769452</v>
      </c>
    </row>
    <row r="47" spans="1:2" ht="12.75">
      <c r="A47" s="6">
        <v>2.1289</v>
      </c>
      <c r="B47" s="1">
        <f t="shared" si="0"/>
        <v>14.888909132699997</v>
      </c>
    </row>
    <row r="48" spans="1:2" ht="12.75">
      <c r="A48" s="6">
        <v>2.4414</v>
      </c>
      <c r="B48" s="1">
        <f t="shared" si="0"/>
        <v>17.271141320199998</v>
      </c>
    </row>
    <row r="49" spans="1:2" ht="12.75">
      <c r="A49" s="6">
        <v>2.6172</v>
      </c>
      <c r="B49" s="1">
        <f t="shared" si="0"/>
        <v>18.6112898596</v>
      </c>
    </row>
    <row r="50" spans="1:2" ht="12.75">
      <c r="A50" s="6">
        <v>2.7539</v>
      </c>
      <c r="B50" s="1">
        <f t="shared" si="0"/>
        <v>19.6533735077</v>
      </c>
    </row>
    <row r="51" spans="1:2" ht="12.75">
      <c r="A51" s="6">
        <v>2.7539</v>
      </c>
      <c r="B51" s="1">
        <f t="shared" si="0"/>
        <v>19.6533735077</v>
      </c>
    </row>
    <row r="52" spans="1:2" ht="12.75">
      <c r="A52" s="6">
        <v>2.8516</v>
      </c>
      <c r="B52" s="1">
        <f t="shared" si="0"/>
        <v>20.3981545788</v>
      </c>
    </row>
    <row r="53" spans="1:2" ht="12.75">
      <c r="A53" s="6">
        <v>2.9102</v>
      </c>
      <c r="B53" s="1">
        <f t="shared" si="0"/>
        <v>20.8448707586</v>
      </c>
    </row>
    <row r="54" spans="1:2" ht="12.75">
      <c r="A54" s="6">
        <v>3.2617</v>
      </c>
      <c r="B54" s="1">
        <f t="shared" si="0"/>
        <v>23.524405523099997</v>
      </c>
    </row>
    <row r="55" spans="1:2" ht="12.75">
      <c r="A55" s="6">
        <v>3.5156</v>
      </c>
      <c r="B55" s="1">
        <f t="shared" si="0"/>
        <v>25.4599215308</v>
      </c>
    </row>
    <row r="56" spans="1:2" ht="12.75">
      <c r="A56" s="6">
        <v>3.6719</v>
      </c>
      <c r="B56" s="1">
        <f t="shared" si="0"/>
        <v>26.6514187817</v>
      </c>
    </row>
    <row r="57" spans="1:2" ht="12.75">
      <c r="A57" s="6">
        <v>3.8672</v>
      </c>
      <c r="B57" s="1">
        <f t="shared" si="0"/>
        <v>28.140218609599998</v>
      </c>
    </row>
    <row r="58" spans="1:2" ht="12.75">
      <c r="A58" s="6">
        <v>3.8672</v>
      </c>
      <c r="B58" s="1">
        <f t="shared" si="0"/>
        <v>28.140218609599998</v>
      </c>
    </row>
    <row r="59" spans="1:2" ht="12.75">
      <c r="A59" s="6">
        <v>3.9844</v>
      </c>
      <c r="B59" s="1">
        <f t="shared" si="0"/>
        <v>29.0336509692</v>
      </c>
    </row>
    <row r="60" spans="1:2" ht="12.75">
      <c r="A60" s="6">
        <v>3.9844</v>
      </c>
      <c r="B60" s="1">
        <f t="shared" si="0"/>
        <v>29.0336509692</v>
      </c>
    </row>
    <row r="61" spans="1:2" ht="12.75">
      <c r="A61" s="6">
        <v>4.1992</v>
      </c>
      <c r="B61" s="1">
        <f t="shared" si="0"/>
        <v>30.6711020856</v>
      </c>
    </row>
    <row r="62" spans="1:2" ht="12.75">
      <c r="A62" s="6">
        <v>4.2969</v>
      </c>
      <c r="B62" s="1">
        <f t="shared" si="0"/>
        <v>31.4158831567</v>
      </c>
    </row>
    <row r="63" spans="1:2" ht="12.75">
      <c r="A63" s="6">
        <v>4.4336</v>
      </c>
      <c r="B63" s="1">
        <f t="shared" si="0"/>
        <v>32.457966804799995</v>
      </c>
    </row>
    <row r="64" spans="1:2" ht="12.75">
      <c r="A64" s="6">
        <v>4.4922</v>
      </c>
      <c r="B64" s="1">
        <f t="shared" si="0"/>
        <v>32.9046829846</v>
      </c>
    </row>
    <row r="65" spans="1:2" ht="12.75">
      <c r="A65" s="6">
        <v>4.5898</v>
      </c>
      <c r="B65" s="1">
        <f t="shared" si="0"/>
        <v>33.6487017414</v>
      </c>
    </row>
    <row r="66" spans="1:2" ht="12.75">
      <c r="A66" s="6">
        <v>4.6484</v>
      </c>
      <c r="B66" s="1">
        <f t="shared" si="0"/>
        <v>34.095417921199996</v>
      </c>
    </row>
    <row r="67" spans="1:2" ht="12.75">
      <c r="A67" s="6">
        <v>4.7461</v>
      </c>
      <c r="B67" s="1">
        <f t="shared" si="0"/>
        <v>34.840198992299996</v>
      </c>
    </row>
    <row r="68" spans="1:2" ht="12.75">
      <c r="A68" s="6">
        <v>4.8242</v>
      </c>
      <c r="B68" s="1">
        <f t="shared" si="0"/>
        <v>35.4355664606</v>
      </c>
    </row>
    <row r="69" spans="1:2" ht="12.75">
      <c r="A69" s="6">
        <v>4.9414</v>
      </c>
      <c r="B69" s="1">
        <f t="shared" si="0"/>
        <v>36.32899882019999</v>
      </c>
    </row>
    <row r="70" spans="1:2" ht="12.75">
      <c r="A70" s="6">
        <v>5.1172</v>
      </c>
      <c r="B70" s="1">
        <f t="shared" si="0"/>
        <v>37.6691473596</v>
      </c>
    </row>
    <row r="71" spans="1:2" ht="12.75">
      <c r="A71" s="6">
        <v>5.2539</v>
      </c>
      <c r="B71" s="1">
        <f t="shared" si="0"/>
        <v>38.71123100769999</v>
      </c>
    </row>
    <row r="72" spans="1:2" ht="12.75">
      <c r="A72" s="6">
        <v>5.2344</v>
      </c>
      <c r="B72" s="1">
        <f t="shared" si="0"/>
        <v>38.562579719199995</v>
      </c>
    </row>
    <row r="73" spans="1:2" ht="12.75">
      <c r="A73" s="6">
        <v>5.3516</v>
      </c>
      <c r="B73" s="1">
        <f t="shared" si="0"/>
        <v>39.4560120788</v>
      </c>
    </row>
    <row r="74" spans="1:2" ht="12.75">
      <c r="A74" s="6">
        <v>5.332</v>
      </c>
      <c r="B74" s="1">
        <f t="shared" si="0"/>
        <v>39.306598476</v>
      </c>
    </row>
    <row r="75" spans="1:2" ht="12.75">
      <c r="A75" s="6">
        <v>5.293</v>
      </c>
      <c r="B75" s="1">
        <f aca="true" t="shared" si="1" ref="B75:B138">(A75*7.623143)-1.34</f>
        <v>39.009295898999994</v>
      </c>
    </row>
    <row r="76" spans="1:2" ht="12.75">
      <c r="A76" s="6">
        <v>5.3125</v>
      </c>
      <c r="B76" s="1">
        <f t="shared" si="1"/>
        <v>39.15794718749999</v>
      </c>
    </row>
    <row r="77" spans="1:2" ht="12.75">
      <c r="A77" s="6">
        <v>5.2344</v>
      </c>
      <c r="B77" s="1">
        <f t="shared" si="1"/>
        <v>38.562579719199995</v>
      </c>
    </row>
    <row r="78" spans="1:2" ht="12.75">
      <c r="A78" s="6">
        <v>5.3125</v>
      </c>
      <c r="B78" s="1">
        <f t="shared" si="1"/>
        <v>39.15794718749999</v>
      </c>
    </row>
    <row r="79" spans="1:2" ht="12.75">
      <c r="A79" s="6">
        <v>5.3516</v>
      </c>
      <c r="B79" s="1">
        <f t="shared" si="1"/>
        <v>39.4560120788</v>
      </c>
    </row>
    <row r="80" spans="1:2" ht="12.75">
      <c r="A80" s="6">
        <v>5.3516</v>
      </c>
      <c r="B80" s="1">
        <f t="shared" si="1"/>
        <v>39.4560120788</v>
      </c>
    </row>
    <row r="81" spans="1:2" ht="12.75">
      <c r="A81" s="6">
        <v>5.332</v>
      </c>
      <c r="B81" s="1">
        <f t="shared" si="1"/>
        <v>39.306598476</v>
      </c>
    </row>
    <row r="82" spans="1:2" ht="12.75">
      <c r="A82" s="6">
        <v>5.3711</v>
      </c>
      <c r="B82" s="1">
        <f t="shared" si="1"/>
        <v>39.6046633673</v>
      </c>
    </row>
    <row r="83" spans="1:2" ht="12.75">
      <c r="A83" s="6">
        <v>5.332</v>
      </c>
      <c r="B83" s="1">
        <f t="shared" si="1"/>
        <v>39.306598476</v>
      </c>
    </row>
    <row r="84" spans="1:2" ht="12.75">
      <c r="A84" s="6">
        <v>5.3711</v>
      </c>
      <c r="B84" s="1">
        <f t="shared" si="1"/>
        <v>39.6046633673</v>
      </c>
    </row>
    <row r="85" spans="1:2" ht="12.75">
      <c r="A85" s="6">
        <v>5.4102</v>
      </c>
      <c r="B85" s="1">
        <f t="shared" si="1"/>
        <v>39.90272825859999</v>
      </c>
    </row>
    <row r="86" spans="1:2" ht="12.75">
      <c r="A86" s="6">
        <v>5.4297</v>
      </c>
      <c r="B86" s="1">
        <f t="shared" si="1"/>
        <v>40.0513795471</v>
      </c>
    </row>
    <row r="87" spans="1:2" ht="12.75">
      <c r="A87" s="6">
        <v>5.3906</v>
      </c>
      <c r="B87" s="1">
        <f t="shared" si="1"/>
        <v>39.7533146558</v>
      </c>
    </row>
    <row r="88" spans="1:2" ht="12.75">
      <c r="A88" s="6">
        <v>5.3906</v>
      </c>
      <c r="B88" s="1">
        <f t="shared" si="1"/>
        <v>39.7533146558</v>
      </c>
    </row>
    <row r="89" spans="1:2" ht="12.75">
      <c r="A89" s="6">
        <v>5.3711</v>
      </c>
      <c r="B89" s="1">
        <f t="shared" si="1"/>
        <v>39.6046633673</v>
      </c>
    </row>
    <row r="90" spans="1:2" ht="12.75">
      <c r="A90" s="6">
        <v>5.3125</v>
      </c>
      <c r="B90" s="1">
        <f t="shared" si="1"/>
        <v>39.15794718749999</v>
      </c>
    </row>
    <row r="91" spans="1:2" ht="12.75">
      <c r="A91" s="6">
        <v>5.2734</v>
      </c>
      <c r="B91" s="1">
        <f t="shared" si="1"/>
        <v>38.85988229619999</v>
      </c>
    </row>
    <row r="92" spans="1:2" ht="12.75">
      <c r="A92" s="6">
        <v>5.2344</v>
      </c>
      <c r="B92" s="1">
        <f t="shared" si="1"/>
        <v>38.562579719199995</v>
      </c>
    </row>
    <row r="93" spans="1:2" ht="12.75">
      <c r="A93" s="6">
        <v>5.2734</v>
      </c>
      <c r="B93" s="1">
        <f t="shared" si="1"/>
        <v>38.85988229619999</v>
      </c>
    </row>
    <row r="94" spans="1:2" ht="12.75">
      <c r="A94" s="6">
        <v>5.1172</v>
      </c>
      <c r="B94" s="1">
        <f t="shared" si="1"/>
        <v>37.6691473596</v>
      </c>
    </row>
    <row r="95" spans="1:2" ht="12.75">
      <c r="A95" s="6">
        <v>4.8828</v>
      </c>
      <c r="B95" s="1">
        <f t="shared" si="1"/>
        <v>35.88228264039999</v>
      </c>
    </row>
    <row r="96" spans="1:2" ht="12.75">
      <c r="A96" s="6">
        <v>4.8047</v>
      </c>
      <c r="B96" s="1">
        <f t="shared" si="1"/>
        <v>35.286915172099995</v>
      </c>
    </row>
    <row r="97" spans="1:2" ht="12.75">
      <c r="A97" s="6">
        <v>4.6875</v>
      </c>
      <c r="B97" s="1">
        <f t="shared" si="1"/>
        <v>34.3934828125</v>
      </c>
    </row>
    <row r="98" spans="1:2" ht="12.75">
      <c r="A98" s="6">
        <v>4.5703</v>
      </c>
      <c r="B98" s="1">
        <f t="shared" si="1"/>
        <v>33.50005045289999</v>
      </c>
    </row>
    <row r="99" spans="1:2" ht="12.75">
      <c r="A99" s="6">
        <v>4.4922</v>
      </c>
      <c r="B99" s="1">
        <f t="shared" si="1"/>
        <v>32.9046829846</v>
      </c>
    </row>
    <row r="100" spans="1:2" ht="12.75">
      <c r="A100" s="6">
        <v>4.4141</v>
      </c>
      <c r="B100" s="1">
        <f t="shared" si="1"/>
        <v>32.309315516299996</v>
      </c>
    </row>
    <row r="101" spans="1:2" ht="12.75">
      <c r="A101" s="6">
        <v>4.2578</v>
      </c>
      <c r="B101" s="1">
        <f t="shared" si="1"/>
        <v>31.117818265399993</v>
      </c>
    </row>
    <row r="102" spans="1:2" ht="12.75">
      <c r="A102" s="6">
        <v>4.1211</v>
      </c>
      <c r="B102" s="1">
        <f t="shared" si="1"/>
        <v>30.0757346173</v>
      </c>
    </row>
    <row r="103" spans="1:2" ht="12.75">
      <c r="A103" s="6">
        <v>3.9648</v>
      </c>
      <c r="B103" s="1">
        <f t="shared" si="1"/>
        <v>28.884237366399997</v>
      </c>
    </row>
    <row r="104" spans="1:2" ht="12.75">
      <c r="A104" s="6">
        <v>3.8477</v>
      </c>
      <c r="B104" s="1">
        <f t="shared" si="1"/>
        <v>27.9915673211</v>
      </c>
    </row>
    <row r="105" spans="1:2" ht="12.75">
      <c r="A105" s="6">
        <v>3.7695</v>
      </c>
      <c r="B105" s="1">
        <f t="shared" si="1"/>
        <v>27.395437538499998</v>
      </c>
    </row>
    <row r="106" spans="1:2" ht="12.75">
      <c r="A106" s="6">
        <v>3.6328</v>
      </c>
      <c r="B106" s="1">
        <f t="shared" si="1"/>
        <v>26.3533538904</v>
      </c>
    </row>
    <row r="107" spans="1:2" ht="12.75">
      <c r="A107" s="6">
        <v>3.4961</v>
      </c>
      <c r="B107" s="1">
        <f t="shared" si="1"/>
        <v>25.3112702423</v>
      </c>
    </row>
    <row r="108" spans="1:2" ht="12.75">
      <c r="A108" s="6">
        <v>3.3789</v>
      </c>
      <c r="B108" s="1">
        <f t="shared" si="1"/>
        <v>24.4178378827</v>
      </c>
    </row>
    <row r="109" spans="1:2" ht="12.75">
      <c r="A109" s="6">
        <v>3.2031</v>
      </c>
      <c r="B109" s="1">
        <f t="shared" si="1"/>
        <v>23.0776893433</v>
      </c>
    </row>
    <row r="110" spans="1:2" ht="12.75">
      <c r="A110" s="6">
        <v>3.125</v>
      </c>
      <c r="B110" s="1">
        <f t="shared" si="1"/>
        <v>22.482321875</v>
      </c>
    </row>
    <row r="111" spans="1:2" ht="12.75">
      <c r="A111" s="6">
        <v>2.9492</v>
      </c>
      <c r="B111" s="1">
        <f t="shared" si="1"/>
        <v>21.1421733356</v>
      </c>
    </row>
    <row r="112" spans="1:2" ht="12.75">
      <c r="A112" s="6">
        <v>2.832</v>
      </c>
      <c r="B112" s="1">
        <f t="shared" si="1"/>
        <v>20.248740975999997</v>
      </c>
    </row>
    <row r="113" spans="1:2" ht="12.75">
      <c r="A113" s="6">
        <v>2.7539</v>
      </c>
      <c r="B113" s="1">
        <f t="shared" si="1"/>
        <v>19.6533735077</v>
      </c>
    </row>
    <row r="114" spans="1:2" ht="12.75">
      <c r="A114" s="6">
        <v>2.6172</v>
      </c>
      <c r="B114" s="1">
        <f t="shared" si="1"/>
        <v>18.6112898596</v>
      </c>
    </row>
    <row r="115" spans="1:2" ht="12.75">
      <c r="A115" s="6">
        <v>2.4414</v>
      </c>
      <c r="B115" s="1">
        <f t="shared" si="1"/>
        <v>17.271141320199998</v>
      </c>
    </row>
    <row r="116" spans="1:2" ht="12.75">
      <c r="A116" s="6">
        <v>2.3633</v>
      </c>
      <c r="B116" s="1">
        <f t="shared" si="1"/>
        <v>16.6757738519</v>
      </c>
    </row>
    <row r="117" spans="1:2" ht="12.75">
      <c r="A117" s="6">
        <v>2.3047</v>
      </c>
      <c r="B117" s="1">
        <f t="shared" si="1"/>
        <v>16.229057672099998</v>
      </c>
    </row>
    <row r="118" spans="1:2" ht="12.75">
      <c r="A118" s="6">
        <v>2.168</v>
      </c>
      <c r="B118" s="1">
        <f t="shared" si="1"/>
        <v>15.186974024000001</v>
      </c>
    </row>
    <row r="119" spans="1:2" ht="12.75">
      <c r="A119" s="6">
        <v>2.0117</v>
      </c>
      <c r="B119" s="1">
        <f t="shared" si="1"/>
        <v>13.995476773099998</v>
      </c>
    </row>
    <row r="120" spans="1:2" ht="12.75">
      <c r="A120" s="6">
        <v>1.9336</v>
      </c>
      <c r="B120" s="1">
        <f t="shared" si="1"/>
        <v>13.400109304799999</v>
      </c>
    </row>
    <row r="121" spans="1:2" ht="12.75">
      <c r="A121" s="6">
        <v>1.8359</v>
      </c>
      <c r="B121" s="1">
        <f t="shared" si="1"/>
        <v>12.6553282337</v>
      </c>
    </row>
    <row r="122" spans="1:2" ht="12.75">
      <c r="A122" s="6">
        <v>1.7383</v>
      </c>
      <c r="B122" s="1">
        <f t="shared" si="1"/>
        <v>11.9113094769</v>
      </c>
    </row>
    <row r="123" spans="1:2" ht="12.75">
      <c r="A123" s="6">
        <v>1.6016</v>
      </c>
      <c r="B123" s="1">
        <f t="shared" si="1"/>
        <v>10.8692258288</v>
      </c>
    </row>
    <row r="124" spans="1:2" ht="12.75">
      <c r="A124" s="6">
        <v>1.5039</v>
      </c>
      <c r="B124" s="1">
        <f t="shared" si="1"/>
        <v>10.1244447577</v>
      </c>
    </row>
    <row r="125" spans="1:2" ht="12.75">
      <c r="A125" s="6">
        <v>1.4453</v>
      </c>
      <c r="B125" s="1">
        <f t="shared" si="1"/>
        <v>9.6777285779</v>
      </c>
    </row>
    <row r="126" spans="1:2" ht="12.75">
      <c r="A126" s="6">
        <v>1.3477</v>
      </c>
      <c r="B126" s="1">
        <f t="shared" si="1"/>
        <v>8.933709821099999</v>
      </c>
    </row>
    <row r="127" spans="1:2" ht="12.75">
      <c r="A127" s="6">
        <v>1.2109</v>
      </c>
      <c r="B127" s="1">
        <f t="shared" si="1"/>
        <v>7.890863858700001</v>
      </c>
    </row>
    <row r="128" spans="1:2" ht="12.75">
      <c r="A128" s="6">
        <v>1.1523</v>
      </c>
      <c r="B128" s="1">
        <f t="shared" si="1"/>
        <v>7.4441476789</v>
      </c>
    </row>
    <row r="129" spans="1:2" ht="12.75">
      <c r="A129" s="6">
        <v>1.0938</v>
      </c>
      <c r="B129" s="1">
        <f t="shared" si="1"/>
        <v>6.9981938134</v>
      </c>
    </row>
    <row r="130" spans="1:2" ht="12.75">
      <c r="A130" s="6">
        <v>0.97656</v>
      </c>
      <c r="B130" s="1">
        <f t="shared" si="1"/>
        <v>6.10445652808</v>
      </c>
    </row>
    <row r="131" spans="1:2" ht="12.75">
      <c r="A131" s="6">
        <v>0.91797</v>
      </c>
      <c r="B131" s="1">
        <f t="shared" si="1"/>
        <v>5.6578165797099995</v>
      </c>
    </row>
    <row r="132" spans="1:2" ht="12.75">
      <c r="A132" s="6">
        <v>0.85938</v>
      </c>
      <c r="B132" s="1">
        <f t="shared" si="1"/>
        <v>5.21117663134</v>
      </c>
    </row>
    <row r="133" spans="1:2" ht="12.75">
      <c r="A133" s="6">
        <v>0.80078</v>
      </c>
      <c r="B133" s="1">
        <f t="shared" si="1"/>
        <v>4.764460451540001</v>
      </c>
    </row>
    <row r="134" spans="1:2" ht="12.75">
      <c r="A134" s="6">
        <v>0.74219</v>
      </c>
      <c r="B134" s="1">
        <f t="shared" si="1"/>
        <v>4.31782050317</v>
      </c>
    </row>
    <row r="135" spans="1:3" ht="12.75">
      <c r="A135" s="6">
        <v>0.68359</v>
      </c>
      <c r="B135" s="1">
        <f t="shared" si="1"/>
        <v>3.87110432337</v>
      </c>
      <c r="C135" t="s">
        <v>69</v>
      </c>
    </row>
    <row r="136" spans="1:2" ht="12.75">
      <c r="A136" s="6">
        <v>0.64453</v>
      </c>
      <c r="B136" s="1">
        <f t="shared" si="1"/>
        <v>3.57334435779</v>
      </c>
    </row>
    <row r="137" spans="1:2" ht="12.75">
      <c r="A137" s="6">
        <v>0.60547</v>
      </c>
      <c r="B137" s="1">
        <f t="shared" si="1"/>
        <v>3.27558439221</v>
      </c>
    </row>
    <row r="138" spans="1:2" ht="12.75">
      <c r="A138" s="6">
        <v>0.54688</v>
      </c>
      <c r="B138" s="1">
        <f t="shared" si="1"/>
        <v>2.82894444384</v>
      </c>
    </row>
    <row r="139" spans="1:2" ht="12.75">
      <c r="A139" s="6">
        <v>0.48828</v>
      </c>
      <c r="B139" s="1">
        <f aca="true" t="shared" si="2" ref="B139:B164">(A139*7.623143)-1.34</f>
        <v>2.38222826404</v>
      </c>
    </row>
    <row r="140" spans="1:2" ht="12.75">
      <c r="A140" s="6">
        <v>0.46875</v>
      </c>
      <c r="B140" s="1">
        <f t="shared" si="2"/>
        <v>2.2333482812499996</v>
      </c>
    </row>
    <row r="141" spans="1:2" ht="12.75">
      <c r="A141" s="6">
        <v>0.46875</v>
      </c>
      <c r="B141" s="1">
        <f t="shared" si="2"/>
        <v>2.2333482812499996</v>
      </c>
    </row>
    <row r="142" spans="1:2" ht="12.75">
      <c r="A142" s="6">
        <v>0.42969</v>
      </c>
      <c r="B142" s="1">
        <f t="shared" si="2"/>
        <v>1.9355883156699998</v>
      </c>
    </row>
    <row r="143" spans="1:2" ht="12.75">
      <c r="A143" s="6">
        <v>0.39063</v>
      </c>
      <c r="B143" s="1">
        <f t="shared" si="2"/>
        <v>1.6378283500899997</v>
      </c>
    </row>
    <row r="144" spans="1:2" ht="12.75">
      <c r="A144" s="6">
        <v>0.37109</v>
      </c>
      <c r="B144" s="1">
        <f t="shared" si="2"/>
        <v>1.4888721358699997</v>
      </c>
    </row>
    <row r="145" spans="1:2" ht="12.75">
      <c r="A145" s="6">
        <v>0.35156</v>
      </c>
      <c r="B145" s="1">
        <f t="shared" si="2"/>
        <v>1.3399921530799996</v>
      </c>
    </row>
    <row r="146" spans="1:2" ht="12.75">
      <c r="A146" s="6">
        <v>0.33203</v>
      </c>
      <c r="B146" s="1">
        <f t="shared" si="2"/>
        <v>1.1911121702899996</v>
      </c>
    </row>
    <row r="147" spans="1:2" ht="12.75">
      <c r="A147" s="6">
        <v>0.29297</v>
      </c>
      <c r="B147" s="1">
        <f t="shared" si="2"/>
        <v>0.89335220471</v>
      </c>
    </row>
    <row r="148" spans="1:2" ht="12.75">
      <c r="A148" s="6">
        <v>0.29297</v>
      </c>
      <c r="B148" s="1">
        <f t="shared" si="2"/>
        <v>0.89335220471</v>
      </c>
    </row>
    <row r="149" spans="1:2" ht="12.75">
      <c r="A149" s="6">
        <v>0.27344</v>
      </c>
      <c r="B149" s="1">
        <f t="shared" si="2"/>
        <v>0.74447222192</v>
      </c>
    </row>
    <row r="150" spans="1:2" ht="12.75">
      <c r="A150" s="6">
        <v>0.25391</v>
      </c>
      <c r="B150" s="1">
        <f t="shared" si="2"/>
        <v>0.5955922391300001</v>
      </c>
    </row>
    <row r="151" spans="1:2" ht="12.75">
      <c r="A151" s="6">
        <v>0.23438</v>
      </c>
      <c r="B151" s="1">
        <f t="shared" si="2"/>
        <v>0.4467122563399999</v>
      </c>
    </row>
    <row r="152" spans="1:2" ht="12.75">
      <c r="A152" s="6">
        <v>0.23438</v>
      </c>
      <c r="B152" s="1">
        <f t="shared" si="2"/>
        <v>0.4467122563399999</v>
      </c>
    </row>
    <row r="153" spans="1:2" ht="12.75">
      <c r="A153" s="6">
        <v>0.23438</v>
      </c>
      <c r="B153" s="1">
        <f t="shared" si="2"/>
        <v>0.4467122563399999</v>
      </c>
    </row>
    <row r="154" spans="1:2" ht="12.75">
      <c r="A154" s="6">
        <v>0.19531</v>
      </c>
      <c r="B154" s="1">
        <f t="shared" si="2"/>
        <v>0.14887605933000003</v>
      </c>
    </row>
    <row r="155" spans="1:2" ht="12.75">
      <c r="A155" s="6">
        <v>0.17578</v>
      </c>
      <c r="B155" s="1">
        <f t="shared" si="2"/>
        <v>-3.923460000221368E-06</v>
      </c>
    </row>
    <row r="156" spans="1:2" ht="12.75">
      <c r="A156" s="6">
        <v>0.17578</v>
      </c>
      <c r="B156" s="1">
        <f t="shared" si="2"/>
        <v>-3.923460000221368E-06</v>
      </c>
    </row>
    <row r="157" spans="1:2" ht="12.75">
      <c r="A157" s="6">
        <v>0.15625</v>
      </c>
      <c r="B157" s="1">
        <f t="shared" si="2"/>
        <v>-0.14888390625000003</v>
      </c>
    </row>
    <row r="158" spans="1:2" ht="12.75">
      <c r="A158" s="6">
        <v>0.13672</v>
      </c>
      <c r="B158" s="1">
        <f t="shared" si="2"/>
        <v>-0.29776388904000006</v>
      </c>
    </row>
    <row r="159" spans="1:2" ht="12.75">
      <c r="A159" s="6">
        <v>0.11719</v>
      </c>
      <c r="B159" s="1">
        <f t="shared" si="2"/>
        <v>-0.4466438718300001</v>
      </c>
    </row>
    <row r="160" spans="1:2" ht="12.75">
      <c r="A160" s="6">
        <v>0.13672</v>
      </c>
      <c r="B160" s="1">
        <f t="shared" si="2"/>
        <v>-0.29776388904000006</v>
      </c>
    </row>
    <row r="161" spans="1:2" ht="12.75">
      <c r="A161" s="6">
        <v>0.13672</v>
      </c>
      <c r="B161" s="1">
        <f t="shared" si="2"/>
        <v>-0.29776388904000006</v>
      </c>
    </row>
    <row r="162" spans="1:2" ht="12.75">
      <c r="A162" s="6">
        <v>0.097656</v>
      </c>
      <c r="B162" s="1">
        <f t="shared" si="2"/>
        <v>-0.5955543471920001</v>
      </c>
    </row>
    <row r="163" spans="1:2" ht="12.75">
      <c r="A163" s="6">
        <v>0.078125</v>
      </c>
      <c r="B163" s="1">
        <f t="shared" si="2"/>
        <v>-0.744441953125</v>
      </c>
    </row>
    <row r="164" spans="1:2" ht="12.75">
      <c r="A164" s="6">
        <v>0.078125</v>
      </c>
      <c r="B164" s="1">
        <f t="shared" si="2"/>
        <v>-0.744441953125</v>
      </c>
    </row>
    <row r="165" spans="1:2" ht="12.75">
      <c r="A165" s="6"/>
      <c r="B165" s="1"/>
    </row>
    <row r="166" spans="1:2" ht="12.75">
      <c r="A166" s="6"/>
      <c r="B166" s="1"/>
    </row>
    <row r="167" spans="1:2" ht="12.75">
      <c r="A167" s="6"/>
      <c r="B167" s="1"/>
    </row>
    <row r="168" spans="1:2" ht="12.75">
      <c r="A168" s="6"/>
      <c r="B168" s="1"/>
    </row>
    <row r="169" spans="1:2" ht="12.75">
      <c r="A169" s="6"/>
      <c r="B169" s="1"/>
    </row>
    <row r="170" spans="1:2" ht="12.75">
      <c r="A170" s="6"/>
      <c r="B170" s="1"/>
    </row>
    <row r="171" spans="1:2" ht="12.75">
      <c r="A171" s="6"/>
      <c r="B171" s="1"/>
    </row>
    <row r="172" spans="1:2" ht="12.75">
      <c r="A172" s="6"/>
      <c r="B172" s="1"/>
    </row>
    <row r="173" spans="1:2" ht="12.75">
      <c r="A173" s="6"/>
      <c r="B173" s="1"/>
    </row>
    <row r="174" spans="1:2" ht="12.75">
      <c r="A174" s="6"/>
      <c r="B174" s="1"/>
    </row>
    <row r="175" spans="1:2" ht="12.75">
      <c r="A175" s="6"/>
      <c r="B175" s="1"/>
    </row>
    <row r="176" spans="1:2" ht="12.75">
      <c r="A176" s="6"/>
      <c r="B176" s="1"/>
    </row>
    <row r="177" spans="1:2" ht="12.75">
      <c r="A177" s="6"/>
      <c r="B177" s="1"/>
    </row>
    <row r="178" spans="1:2" ht="12.75">
      <c r="A178" s="6"/>
      <c r="B178" s="1"/>
    </row>
    <row r="179" spans="1:2" ht="12.75">
      <c r="A179" s="6"/>
      <c r="B179" s="1"/>
    </row>
    <row r="180" spans="1:2" ht="12.75">
      <c r="A180" s="6"/>
      <c r="B180" s="1"/>
    </row>
    <row r="181" spans="1:2" ht="12.75">
      <c r="A181" s="6"/>
      <c r="B181" s="1"/>
    </row>
    <row r="182" spans="1:2" ht="12.75">
      <c r="A182" s="6"/>
      <c r="B182" s="1"/>
    </row>
    <row r="183" spans="1:2" ht="12.75">
      <c r="A183" s="6"/>
      <c r="B183" s="1"/>
    </row>
    <row r="184" spans="1:2" ht="12.75">
      <c r="A184" s="6"/>
      <c r="B184" s="1"/>
    </row>
    <row r="185" spans="1:2" ht="12.75">
      <c r="A185" s="6"/>
      <c r="B185" s="1"/>
    </row>
    <row r="186" spans="1:2" ht="12.75">
      <c r="A186" s="6"/>
      <c r="B186" s="1"/>
    </row>
    <row r="187" spans="1:2" ht="12.75">
      <c r="A187" s="6"/>
      <c r="B187" s="1"/>
    </row>
    <row r="188" spans="1:2" ht="12.75">
      <c r="A188" s="6"/>
      <c r="B188" s="1"/>
    </row>
    <row r="189" spans="1:2" ht="12.75">
      <c r="A189" s="6"/>
      <c r="B189" s="1"/>
    </row>
    <row r="190" spans="1:2" ht="12.75">
      <c r="A190" s="6"/>
      <c r="B190" s="1"/>
    </row>
    <row r="191" spans="1:2" ht="12.75">
      <c r="A191" s="6"/>
      <c r="B191" s="1"/>
    </row>
    <row r="192" spans="1:2" ht="12.75">
      <c r="A192" s="6"/>
      <c r="B192" s="1"/>
    </row>
    <row r="193" spans="1:2" ht="12.75">
      <c r="A193" s="6"/>
      <c r="B193" s="1"/>
    </row>
    <row r="194" spans="1:2" ht="12.75">
      <c r="A194" s="6"/>
      <c r="B194" s="1"/>
    </row>
    <row r="195" spans="1:2" ht="12.75">
      <c r="A195" s="6"/>
      <c r="B195" s="1"/>
    </row>
    <row r="196" spans="1:2" ht="12.75">
      <c r="A196" s="6"/>
      <c r="B196" s="1"/>
    </row>
    <row r="197" spans="1:2" ht="12.75">
      <c r="A197" s="6"/>
      <c r="B197" s="1"/>
    </row>
    <row r="198" spans="1:2" ht="12.75">
      <c r="A198" s="6"/>
      <c r="B198" s="1"/>
    </row>
    <row r="199" spans="1:2" ht="12.75">
      <c r="A199" s="6"/>
      <c r="B199" s="1"/>
    </row>
    <row r="200" spans="1:2" ht="12.75">
      <c r="A200" s="6"/>
      <c r="B200" s="1"/>
    </row>
    <row r="201" spans="1:2" ht="12.75">
      <c r="A201" s="6"/>
      <c r="B201" s="1"/>
    </row>
    <row r="202" spans="1:2" ht="12.75">
      <c r="A202" s="6"/>
      <c r="B202" s="1"/>
    </row>
    <row r="203" spans="1:2" ht="12.75">
      <c r="A203" s="6"/>
      <c r="B203" s="1"/>
    </row>
    <row r="204" spans="1:2" ht="12.75">
      <c r="A204" s="6"/>
      <c r="B204" s="1"/>
    </row>
    <row r="205" spans="1:2" ht="12.75">
      <c r="A205" s="6"/>
      <c r="B205" s="1"/>
    </row>
    <row r="206" spans="1:2" ht="12.75">
      <c r="A206" s="6"/>
      <c r="B206" s="1"/>
    </row>
    <row r="207" spans="1:2" ht="12.75">
      <c r="A207" s="6"/>
      <c r="B207" s="1"/>
    </row>
    <row r="208" spans="1:2" ht="12.75">
      <c r="A208" s="6"/>
      <c r="B208" s="1"/>
    </row>
    <row r="209" spans="1:2" ht="12.75">
      <c r="A209" s="6"/>
      <c r="B209" s="1"/>
    </row>
    <row r="210" spans="1:2" ht="12.75">
      <c r="A210" s="6"/>
      <c r="B210" s="1"/>
    </row>
    <row r="211" spans="1:2" ht="12.75">
      <c r="A211" s="6"/>
      <c r="B211" s="1"/>
    </row>
    <row r="212" spans="1:2" ht="12.75">
      <c r="A212" s="6"/>
      <c r="B212" s="1"/>
    </row>
    <row r="213" spans="1:2" ht="12.75">
      <c r="A213" s="6"/>
      <c r="B213" s="1"/>
    </row>
    <row r="214" spans="1:2" ht="12.75">
      <c r="A214" s="6"/>
      <c r="B214" s="1"/>
    </row>
    <row r="215" spans="1:2" ht="12.75">
      <c r="A215" s="6"/>
      <c r="B215" s="1"/>
    </row>
    <row r="216" spans="1:2" ht="12.75">
      <c r="A216" s="6"/>
      <c r="B216" s="1"/>
    </row>
    <row r="217" spans="1:2" ht="12.75">
      <c r="A217" s="6"/>
      <c r="B217" s="1"/>
    </row>
    <row r="218" spans="1:2" ht="12.75">
      <c r="A218" s="6"/>
      <c r="B218" s="1"/>
    </row>
    <row r="219" spans="1:2" ht="12.75">
      <c r="A219" s="6"/>
      <c r="B219" s="1"/>
    </row>
    <row r="220" spans="1:2" ht="12.75">
      <c r="A220" s="6"/>
      <c r="B220" s="1"/>
    </row>
    <row r="221" spans="1:2" ht="12.75">
      <c r="A221" s="6"/>
      <c r="B221" s="1"/>
    </row>
    <row r="222" spans="1:2" ht="12.75">
      <c r="A222" s="6"/>
      <c r="B222" s="1"/>
    </row>
    <row r="223" spans="1:2" ht="12.75">
      <c r="A223" s="6"/>
      <c r="B223" s="1"/>
    </row>
    <row r="224" spans="1:2" ht="12.75">
      <c r="A224" s="6"/>
      <c r="B224" s="1"/>
    </row>
    <row r="225" spans="1:2" ht="12.75">
      <c r="A225" s="6"/>
      <c r="B225" s="1"/>
    </row>
    <row r="226" spans="1:2" ht="12.75">
      <c r="A226" s="6"/>
      <c r="B226" s="1"/>
    </row>
    <row r="227" spans="1:2" ht="12.75">
      <c r="A227" s="6"/>
      <c r="B227" s="1"/>
    </row>
    <row r="228" spans="1:2" ht="12.75">
      <c r="A228" s="6"/>
      <c r="B228" s="1"/>
    </row>
    <row r="229" spans="1:2" ht="12.75">
      <c r="A229" s="6"/>
      <c r="B229" s="1"/>
    </row>
    <row r="230" spans="1:2" ht="12.75">
      <c r="A230" s="6"/>
      <c r="B230" s="1"/>
    </row>
    <row r="231" spans="1:2" ht="12.75">
      <c r="A231" s="6"/>
      <c r="B231" s="1"/>
    </row>
    <row r="232" spans="1:2" ht="12.75">
      <c r="A232" s="6"/>
      <c r="B232" s="1"/>
    </row>
    <row r="233" spans="1:2" ht="12.75">
      <c r="A233" s="6"/>
      <c r="B233" s="1"/>
    </row>
    <row r="234" spans="1:2" ht="12.75">
      <c r="A234" s="6"/>
      <c r="B234" s="1"/>
    </row>
    <row r="235" spans="1:2" ht="12.75">
      <c r="A235" s="6"/>
      <c r="B235" s="1"/>
    </row>
    <row r="236" spans="1:2" ht="12.75">
      <c r="A236" s="6"/>
      <c r="B236" s="1"/>
    </row>
    <row r="237" spans="1:2" ht="12.75">
      <c r="A237" s="6"/>
      <c r="B237" s="1"/>
    </row>
    <row r="238" spans="1:2" ht="12.75">
      <c r="A238" s="6"/>
      <c r="B238" s="1"/>
    </row>
    <row r="239" spans="1:2" ht="12.75">
      <c r="A239" s="6"/>
      <c r="B239" s="1"/>
    </row>
    <row r="240" spans="1:2" ht="12.75">
      <c r="A240" s="6"/>
      <c r="B240" s="1"/>
    </row>
    <row r="241" spans="1:2" ht="12.75">
      <c r="A241" s="6"/>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170</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1" max="1" width="26.57421875" style="0" customWidth="1"/>
    <col min="2" max="2" width="11.8515625" style="0" customWidth="1"/>
  </cols>
  <sheetData>
    <row r="1" spans="1:4" ht="12.75">
      <c r="A1" s="10" t="s">
        <v>142</v>
      </c>
      <c r="B1" s="11" t="s">
        <v>161</v>
      </c>
      <c r="D1" t="s">
        <v>137</v>
      </c>
    </row>
    <row r="2" ht="12.75">
      <c r="D2" t="s">
        <v>154</v>
      </c>
    </row>
    <row r="3" spans="1:4" ht="12.75">
      <c r="A3" s="7" t="s">
        <v>143</v>
      </c>
      <c r="B3" s="12">
        <v>2</v>
      </c>
      <c r="D3" t="s">
        <v>157</v>
      </c>
    </row>
    <row r="4" spans="1:4" ht="12.75">
      <c r="A4" s="7" t="s">
        <v>144</v>
      </c>
      <c r="B4" s="13">
        <v>0.9</v>
      </c>
      <c r="D4" t="s">
        <v>138</v>
      </c>
    </row>
    <row r="5" spans="1:8" ht="12.75">
      <c r="A5" s="7" t="s">
        <v>145</v>
      </c>
      <c r="B5" s="13">
        <v>0.3125</v>
      </c>
      <c r="H5" t="s">
        <v>148</v>
      </c>
    </row>
    <row r="6" spans="1:4" ht="12.75">
      <c r="A6" s="7" t="s">
        <v>146</v>
      </c>
      <c r="B6" s="13">
        <v>1.6</v>
      </c>
      <c r="D6" s="14" t="s">
        <v>155</v>
      </c>
    </row>
    <row r="7" spans="1:14" ht="12.75">
      <c r="A7" s="7" t="s">
        <v>147</v>
      </c>
      <c r="B7" s="12">
        <v>0.203</v>
      </c>
      <c r="L7" t="s">
        <v>134</v>
      </c>
      <c r="M7" t="s">
        <v>135</v>
      </c>
      <c r="N7" t="s">
        <v>140</v>
      </c>
    </row>
    <row r="8" spans="5:17" ht="12.75">
      <c r="E8" t="s">
        <v>132</v>
      </c>
      <c r="F8" t="s">
        <v>126</v>
      </c>
      <c r="G8" t="s">
        <v>111</v>
      </c>
      <c r="H8" t="s">
        <v>119</v>
      </c>
      <c r="I8" t="s">
        <v>117</v>
      </c>
      <c r="J8" t="s">
        <v>120</v>
      </c>
      <c r="K8" t="s">
        <v>122</v>
      </c>
      <c r="L8" t="s">
        <v>120</v>
      </c>
      <c r="M8" t="s">
        <v>123</v>
      </c>
      <c r="N8" t="s">
        <v>124</v>
      </c>
      <c r="O8" t="s">
        <v>127</v>
      </c>
      <c r="P8" t="s">
        <v>130</v>
      </c>
      <c r="Q8" t="s">
        <v>21</v>
      </c>
    </row>
    <row r="9" spans="4:16" ht="12.75">
      <c r="D9" s="15" t="s">
        <v>116</v>
      </c>
      <c r="E9" t="s">
        <v>136</v>
      </c>
      <c r="G9" t="s">
        <v>6</v>
      </c>
      <c r="I9" t="s">
        <v>125</v>
      </c>
      <c r="J9" t="s">
        <v>133</v>
      </c>
      <c r="K9" t="s">
        <v>118</v>
      </c>
      <c r="L9" t="s">
        <v>121</v>
      </c>
      <c r="M9" t="s">
        <v>139</v>
      </c>
      <c r="N9" t="s">
        <v>118</v>
      </c>
      <c r="O9" t="s">
        <v>128</v>
      </c>
      <c r="P9" t="s">
        <v>131</v>
      </c>
    </row>
    <row r="10" spans="1:17" ht="12.75">
      <c r="A10" t="s">
        <v>149</v>
      </c>
      <c r="B10" s="16">
        <f>(($B$4-$B$5))/29</f>
        <v>0.020258620689655175</v>
      </c>
      <c r="C10" s="17" t="s">
        <v>151</v>
      </c>
      <c r="D10" s="15">
        <v>0</v>
      </c>
      <c r="E10" s="1">
        <f>D10*$B$10</f>
        <v>0</v>
      </c>
      <c r="F10">
        <f>B4</f>
        <v>0.9</v>
      </c>
      <c r="G10" s="1">
        <f>$B6-E10</f>
        <v>1.6</v>
      </c>
      <c r="H10" s="3">
        <f>$B5+E10</f>
        <v>0.3125</v>
      </c>
      <c r="I10" s="2">
        <f>(F10*(PI())*G10)</f>
        <v>4.523893421169302</v>
      </c>
      <c r="J10" s="2">
        <f>((F10/2)^2)*PI()</f>
        <v>0.6361725123519332</v>
      </c>
      <c r="K10" s="2">
        <f>((H10/2)^2)*PI()</f>
        <v>0.07669903939428206</v>
      </c>
      <c r="L10" s="2">
        <f>J10-K10</f>
        <v>0.5594734729576512</v>
      </c>
      <c r="M10" s="2">
        <f>(H10*PI())*G10</f>
        <v>1.5707963267948966</v>
      </c>
      <c r="N10" s="2">
        <f>(L10*2)+M10</f>
        <v>2.689743272710199</v>
      </c>
      <c r="O10" s="2">
        <f>N10*B3</f>
        <v>5.379486545420398</v>
      </c>
      <c r="P10" s="18">
        <f>(F10-H10)/2</f>
        <v>0.29375</v>
      </c>
      <c r="Q10" s="2">
        <f>O10/B12</f>
        <v>166.21065786600016</v>
      </c>
    </row>
    <row r="11" spans="1:17" ht="12.75">
      <c r="A11" t="s">
        <v>112</v>
      </c>
      <c r="B11" s="1">
        <f>$O$10</f>
        <v>5.379486545420398</v>
      </c>
      <c r="C11" s="17" t="s">
        <v>152</v>
      </c>
      <c r="D11" s="15">
        <v>1</v>
      </c>
      <c r="E11" s="1">
        <f>D11*B10</f>
        <v>0.020258620689655175</v>
      </c>
      <c r="F11">
        <f>B4</f>
        <v>0.9</v>
      </c>
      <c r="G11" s="1">
        <f>$B6-E11</f>
        <v>1.579741379310345</v>
      </c>
      <c r="H11" s="3">
        <f>$B5+E11</f>
        <v>0.33275862068965517</v>
      </c>
      <c r="I11" s="2">
        <f aca="true" t="shared" si="0" ref="I11:I38">(F11*(PI())*G11)</f>
        <v>4.466613520631868</v>
      </c>
      <c r="J11" s="2">
        <f aca="true" t="shared" si="1" ref="J11:J38">((F11/2)^2)*PI()</f>
        <v>0.6361725123519332</v>
      </c>
      <c r="K11" s="2">
        <f aca="true" t="shared" si="2" ref="K11:K38">((H11/2)^2)*PI()</f>
        <v>0.08696580317595586</v>
      </c>
      <c r="L11" s="2">
        <f aca="true" t="shared" si="3" ref="L11:L38">J11-K11</f>
        <v>0.5492067091759774</v>
      </c>
      <c r="M11" s="2">
        <f aca="true" t="shared" si="4" ref="M11:M38">(H11*PI())*G11</f>
        <v>1.65144906031025</v>
      </c>
      <c r="N11" s="2">
        <f aca="true" t="shared" si="5" ref="N11:N38">(L11*2)+M11</f>
        <v>2.749862478662205</v>
      </c>
      <c r="O11" s="2">
        <f>N11*B3</f>
        <v>5.49972495732441</v>
      </c>
      <c r="P11" s="18">
        <f aca="true" t="shared" si="6" ref="P11:P39">(F11-H11)/2</f>
        <v>0.2836206896551724</v>
      </c>
      <c r="Q11" s="2">
        <f>O11/B12</f>
        <v>169.92567887675855</v>
      </c>
    </row>
    <row r="12" spans="1:17" ht="12.75">
      <c r="A12" t="s">
        <v>115</v>
      </c>
      <c r="B12" s="1">
        <f>((B7/2)^2)*PI()</f>
        <v>0.03236547291544545</v>
      </c>
      <c r="C12" s="14" t="s">
        <v>153</v>
      </c>
      <c r="D12" s="15">
        <v>2</v>
      </c>
      <c r="E12" s="1">
        <f>D12*B10</f>
        <v>0.04051724137931035</v>
      </c>
      <c r="F12">
        <f>B4</f>
        <v>0.9</v>
      </c>
      <c r="G12" s="1">
        <f>$B6-E12</f>
        <v>1.5594827586206896</v>
      </c>
      <c r="H12" s="3">
        <f>$B5+E12</f>
        <v>0.35301724137931034</v>
      </c>
      <c r="I12" s="2">
        <f t="shared" si="0"/>
        <v>4.409333620094433</v>
      </c>
      <c r="J12" s="2">
        <f t="shared" si="1"/>
        <v>0.6361725123519332</v>
      </c>
      <c r="K12" s="2">
        <f t="shared" si="2"/>
        <v>0.09787724016770136</v>
      </c>
      <c r="L12" s="2">
        <f t="shared" si="3"/>
        <v>0.5382952721842318</v>
      </c>
      <c r="M12" s="2">
        <f t="shared" si="4"/>
        <v>1.7295231009853163</v>
      </c>
      <c r="N12" s="2">
        <f t="shared" si="5"/>
        <v>2.80611364535378</v>
      </c>
      <c r="O12" s="2">
        <f>N12*B3</f>
        <v>5.61222729070756</v>
      </c>
      <c r="P12" s="18">
        <f t="shared" si="6"/>
        <v>0.27349137931034484</v>
      </c>
      <c r="Q12" s="2">
        <f>O12/B12</f>
        <v>173.40167731735178</v>
      </c>
    </row>
    <row r="13" spans="1:17" ht="12.75">
      <c r="A13" t="s">
        <v>159</v>
      </c>
      <c r="B13" s="1">
        <f>((B5/2)^2)*PI()</f>
        <v>0.07669903939428206</v>
      </c>
      <c r="D13" s="15">
        <v>3</v>
      </c>
      <c r="E13" s="1">
        <f>D13*B10</f>
        <v>0.06077586206896553</v>
      </c>
      <c r="F13">
        <f>B4</f>
        <v>0.9</v>
      </c>
      <c r="G13" s="1">
        <f>$B6-E13</f>
        <v>1.5392241379310345</v>
      </c>
      <c r="H13" s="3">
        <f>$B5+E13</f>
        <v>0.3732758620689655</v>
      </c>
      <c r="I13" s="2">
        <f t="shared" si="0"/>
        <v>4.352053719556999</v>
      </c>
      <c r="J13" s="2">
        <f t="shared" si="1"/>
        <v>0.6361725123519332</v>
      </c>
      <c r="K13" s="2">
        <f t="shared" si="2"/>
        <v>0.10943335036951855</v>
      </c>
      <c r="L13" s="2">
        <f t="shared" si="3"/>
        <v>0.5267391619824147</v>
      </c>
      <c r="M13" s="2">
        <f t="shared" si="4"/>
        <v>1.805018448820096</v>
      </c>
      <c r="N13" s="2">
        <f t="shared" si="5"/>
        <v>2.8584967727849255</v>
      </c>
      <c r="O13" s="2">
        <f>N13*B3</f>
        <v>5.716993545569851</v>
      </c>
      <c r="P13" s="18">
        <f t="shared" si="6"/>
        <v>0.2633620689655173</v>
      </c>
      <c r="Q13" s="2">
        <f>O13/B12</f>
        <v>176.63865318777988</v>
      </c>
    </row>
    <row r="14" spans="1:17" ht="12.75">
      <c r="A14" t="s">
        <v>160</v>
      </c>
      <c r="B14">
        <f>B13/B12</f>
        <v>2.369779659783057</v>
      </c>
      <c r="D14" s="15">
        <v>4</v>
      </c>
      <c r="E14" s="1">
        <f>D14*B10</f>
        <v>0.0810344827586207</v>
      </c>
      <c r="F14">
        <f>B4</f>
        <v>0.9</v>
      </c>
      <c r="G14" s="1">
        <f>$B6-E14</f>
        <v>1.5189655172413794</v>
      </c>
      <c r="H14" s="3">
        <f>$B5+E14</f>
        <v>0.3935344827586207</v>
      </c>
      <c r="I14" s="2">
        <f t="shared" si="0"/>
        <v>4.294773819019564</v>
      </c>
      <c r="J14" s="2">
        <f t="shared" si="1"/>
        <v>0.6361725123519332</v>
      </c>
      <c r="K14" s="2">
        <f t="shared" si="2"/>
        <v>0.12163413378140747</v>
      </c>
      <c r="L14" s="2">
        <f t="shared" si="3"/>
        <v>0.5145383785705258</v>
      </c>
      <c r="M14" s="2">
        <f t="shared" si="4"/>
        <v>1.8779351038145888</v>
      </c>
      <c r="N14" s="2">
        <f t="shared" si="5"/>
        <v>2.9070118609556403</v>
      </c>
      <c r="O14" s="2">
        <f>N14*B3</f>
        <v>5.814023721911281</v>
      </c>
      <c r="P14" s="18">
        <f t="shared" si="6"/>
        <v>0.25323275862068967</v>
      </c>
      <c r="Q14" s="2">
        <f>O14/B12</f>
        <v>179.6366064880428</v>
      </c>
    </row>
    <row r="15" spans="1:17" ht="12.75">
      <c r="A15" t="s">
        <v>113</v>
      </c>
      <c r="B15" s="15">
        <f>$Q$10</f>
        <v>166.21065786600016</v>
      </c>
      <c r="D15" s="15">
        <v>5</v>
      </c>
      <c r="E15" s="1">
        <f>D15*B10</f>
        <v>0.10129310344827587</v>
      </c>
      <c r="F15">
        <f>B4</f>
        <v>0.9</v>
      </c>
      <c r="G15" s="1">
        <f>$B6-E15</f>
        <v>1.4987068965517243</v>
      </c>
      <c r="H15" s="3">
        <f>$B5+E15</f>
        <v>0.41379310344827586</v>
      </c>
      <c r="I15" s="2">
        <f t="shared" si="0"/>
        <v>4.237493918482129</v>
      </c>
      <c r="J15" s="2">
        <f t="shared" si="1"/>
        <v>0.6361725123519332</v>
      </c>
      <c r="K15" s="2">
        <f t="shared" si="2"/>
        <v>0.13447959040336807</v>
      </c>
      <c r="L15" s="2">
        <f t="shared" si="3"/>
        <v>0.5016929219485651</v>
      </c>
      <c r="M15" s="2">
        <f t="shared" si="4"/>
        <v>1.948273065968795</v>
      </c>
      <c r="N15" s="2">
        <f t="shared" si="5"/>
        <v>2.951658909865925</v>
      </c>
      <c r="O15" s="2">
        <f>N15*B3</f>
        <v>5.90331781973185</v>
      </c>
      <c r="P15" s="18">
        <f t="shared" si="6"/>
        <v>0.24310344827586208</v>
      </c>
      <c r="Q15" s="2">
        <f>O15/B12</f>
        <v>182.39553721814053</v>
      </c>
    </row>
    <row r="16" spans="1:17" ht="12.75">
      <c r="A16" t="s">
        <v>114</v>
      </c>
      <c r="B16" s="15">
        <f>MAX(Q11:Q39)</f>
        <v>196.968285618316</v>
      </c>
      <c r="D16" s="15">
        <v>6</v>
      </c>
      <c r="E16" s="1">
        <f>D16*B10</f>
        <v>0.12155172413793106</v>
      </c>
      <c r="F16">
        <f>B4</f>
        <v>0.9</v>
      </c>
      <c r="G16" s="1">
        <f>$B6-E16</f>
        <v>1.478448275862069</v>
      </c>
      <c r="H16" s="3">
        <f>$B5+E16</f>
        <v>0.434051724137931</v>
      </c>
      <c r="I16" s="2">
        <f t="shared" si="0"/>
        <v>4.180214017944695</v>
      </c>
      <c r="J16" s="2">
        <f t="shared" si="1"/>
        <v>0.6361725123519332</v>
      </c>
      <c r="K16" s="2">
        <f t="shared" si="2"/>
        <v>0.14796972023540036</v>
      </c>
      <c r="L16" s="2">
        <f t="shared" si="3"/>
        <v>0.48820279211653284</v>
      </c>
      <c r="M16" s="2">
        <f t="shared" si="4"/>
        <v>2.0160323352827145</v>
      </c>
      <c r="N16" s="2">
        <f t="shared" si="5"/>
        <v>2.99243791951578</v>
      </c>
      <c r="O16" s="2">
        <f>N16*B3</f>
        <v>5.98487583903156</v>
      </c>
      <c r="P16" s="18">
        <f t="shared" si="6"/>
        <v>0.2329741379310345</v>
      </c>
      <c r="Q16" s="2">
        <f>O16/B12</f>
        <v>184.9154453780732</v>
      </c>
    </row>
    <row r="17" spans="1:17" ht="12.75">
      <c r="A17" t="s">
        <v>150</v>
      </c>
      <c r="B17" s="15">
        <f>$Q$39</f>
        <v>176.90310369094132</v>
      </c>
      <c r="D17" s="15">
        <v>7</v>
      </c>
      <c r="E17" s="1">
        <f>D17*B10</f>
        <v>0.14181034482758623</v>
      </c>
      <c r="F17">
        <f>B4</f>
        <v>0.9</v>
      </c>
      <c r="G17" s="1">
        <f>$B6-E17</f>
        <v>1.4581896551724138</v>
      </c>
      <c r="H17" s="3">
        <f>$B5+E17</f>
        <v>0.45431034482758625</v>
      </c>
      <c r="I17" s="2">
        <f t="shared" si="0"/>
        <v>4.12293411740726</v>
      </c>
      <c r="J17" s="2">
        <f t="shared" si="1"/>
        <v>0.6361725123519332</v>
      </c>
      <c r="K17" s="2">
        <f t="shared" si="2"/>
        <v>0.16210452327750444</v>
      </c>
      <c r="L17" s="2">
        <f t="shared" si="3"/>
        <v>0.4740679890744287</v>
      </c>
      <c r="M17" s="2">
        <f t="shared" si="4"/>
        <v>2.0812129117563467</v>
      </c>
      <c r="N17" s="2">
        <f t="shared" si="5"/>
        <v>3.0293488899052043</v>
      </c>
      <c r="O17" s="2">
        <f>N17*B3</f>
        <v>6.058697779810409</v>
      </c>
      <c r="P17" s="18">
        <f t="shared" si="6"/>
        <v>0.22284482758620688</v>
      </c>
      <c r="Q17" s="2">
        <f>O17/B12</f>
        <v>187.19633096784065</v>
      </c>
    </row>
    <row r="18" spans="2:17" ht="12.75">
      <c r="B18" s="1"/>
      <c r="D18" s="15">
        <v>8</v>
      </c>
      <c r="E18" s="1">
        <f>D18*B10</f>
        <v>0.1620689655172414</v>
      </c>
      <c r="F18">
        <f>B4</f>
        <v>0.9</v>
      </c>
      <c r="G18" s="1">
        <f>$B6-E18</f>
        <v>1.4379310344827587</v>
      </c>
      <c r="H18" s="3">
        <f>$B5+E18</f>
        <v>0.47456896551724137</v>
      </c>
      <c r="I18" s="2">
        <f t="shared" si="0"/>
        <v>4.0656542168698255</v>
      </c>
      <c r="J18" s="2">
        <f t="shared" si="1"/>
        <v>0.6361725123519332</v>
      </c>
      <c r="K18" s="2">
        <f t="shared" si="2"/>
        <v>0.17688399952968012</v>
      </c>
      <c r="L18" s="2">
        <f t="shared" si="3"/>
        <v>0.459288512822253</v>
      </c>
      <c r="M18" s="2">
        <f t="shared" si="4"/>
        <v>2.1438147953896927</v>
      </c>
      <c r="N18" s="2">
        <f t="shared" si="5"/>
        <v>3.0623918210341987</v>
      </c>
      <c r="O18" s="2">
        <f>N18*B3</f>
        <v>6.124783642068397</v>
      </c>
      <c r="P18" s="18">
        <f t="shared" si="6"/>
        <v>0.21271551724137933</v>
      </c>
      <c r="Q18" s="2">
        <f>O18/B12</f>
        <v>189.23819398744297</v>
      </c>
    </row>
    <row r="19" spans="1:17" ht="12.75">
      <c r="A19" t="s">
        <v>141</v>
      </c>
      <c r="B19" s="1">
        <f>((B4*3)+B5)/2</f>
        <v>1.50625</v>
      </c>
      <c r="C19" s="17" t="s">
        <v>158</v>
      </c>
      <c r="D19" s="15">
        <v>9</v>
      </c>
      <c r="E19" s="1">
        <f>D19*B10</f>
        <v>0.18232758620689657</v>
      </c>
      <c r="F19">
        <f>B4</f>
        <v>0.9</v>
      </c>
      <c r="G19" s="1">
        <f>$B6-E19</f>
        <v>1.4176724137931036</v>
      </c>
      <c r="H19" s="3">
        <f>$B5+E19</f>
        <v>0.4948275862068966</v>
      </c>
      <c r="I19" s="2">
        <f t="shared" si="0"/>
        <v>4.008374316332391</v>
      </c>
      <c r="J19" s="2">
        <f t="shared" si="1"/>
        <v>0.6361725123519332</v>
      </c>
      <c r="K19" s="2">
        <f t="shared" si="2"/>
        <v>0.19230814899192755</v>
      </c>
      <c r="L19" s="2">
        <f t="shared" si="3"/>
        <v>0.4438643633600056</v>
      </c>
      <c r="M19" s="2">
        <f t="shared" si="4"/>
        <v>2.203837986182752</v>
      </c>
      <c r="N19" s="2">
        <f t="shared" si="5"/>
        <v>3.0915667129027633</v>
      </c>
      <c r="O19" s="2">
        <f>N19*B3</f>
        <v>6.183133425805527</v>
      </c>
      <c r="P19" s="18">
        <f t="shared" si="6"/>
        <v>0.2025862068965517</v>
      </c>
      <c r="Q19" s="2">
        <f>O19/B12</f>
        <v>191.04103443688018</v>
      </c>
    </row>
    <row r="20" spans="4:17" ht="12.75">
      <c r="D20" s="15">
        <v>10</v>
      </c>
      <c r="E20" s="1">
        <f>D20*B10</f>
        <v>0.20258620689655174</v>
      </c>
      <c r="F20">
        <f>B4</f>
        <v>0.9</v>
      </c>
      <c r="G20" s="1">
        <f>$B6-E20</f>
        <v>1.3974137931034483</v>
      </c>
      <c r="H20" s="3">
        <f>$B5+E20</f>
        <v>0.5150862068965517</v>
      </c>
      <c r="I20" s="2">
        <f t="shared" si="0"/>
        <v>3.951094415794956</v>
      </c>
      <c r="J20" s="2">
        <f t="shared" si="1"/>
        <v>0.6361725123519332</v>
      </c>
      <c r="K20" s="2">
        <f t="shared" si="2"/>
        <v>0.20837697166424665</v>
      </c>
      <c r="L20" s="2">
        <f t="shared" si="3"/>
        <v>0.42779554068768655</v>
      </c>
      <c r="M20" s="2">
        <f t="shared" si="4"/>
        <v>2.2612824841355232</v>
      </c>
      <c r="N20" s="2">
        <f t="shared" si="5"/>
        <v>3.1168735655108963</v>
      </c>
      <c r="O20" s="2">
        <f>N20*B3</f>
        <v>6.233747131021793</v>
      </c>
      <c r="P20" s="18">
        <f t="shared" si="6"/>
        <v>0.19245689655172415</v>
      </c>
      <c r="Q20" s="2">
        <f>O20/B12</f>
        <v>192.60485231615215</v>
      </c>
    </row>
    <row r="21" spans="4:17" ht="12.75">
      <c r="D21" s="15">
        <v>11</v>
      </c>
      <c r="E21" s="1">
        <f>D21*B10</f>
        <v>0.2228448275862069</v>
      </c>
      <c r="F21">
        <f>B4</f>
        <v>0.9</v>
      </c>
      <c r="G21" s="1">
        <f>$B6-E21</f>
        <v>1.3771551724137931</v>
      </c>
      <c r="H21" s="3">
        <f>$B5+E21</f>
        <v>0.5353448275862069</v>
      </c>
      <c r="I21" s="2">
        <f t="shared" si="0"/>
        <v>3.893814515257522</v>
      </c>
      <c r="J21" s="2">
        <f t="shared" si="1"/>
        <v>0.6361725123519332</v>
      </c>
      <c r="K21" s="2">
        <f t="shared" si="2"/>
        <v>0.2250904675466375</v>
      </c>
      <c r="L21" s="2">
        <f t="shared" si="3"/>
        <v>0.41108204480529564</v>
      </c>
      <c r="M21" s="2">
        <f t="shared" si="4"/>
        <v>2.3161482892480088</v>
      </c>
      <c r="N21" s="2">
        <f t="shared" si="5"/>
        <v>3.1383123788586</v>
      </c>
      <c r="O21" s="2">
        <f>N21*B3</f>
        <v>6.2766247577172</v>
      </c>
      <c r="P21" s="18">
        <f t="shared" si="6"/>
        <v>0.18232758620689654</v>
      </c>
      <c r="Q21" s="2">
        <f>O21/B12</f>
        <v>193.929647625259</v>
      </c>
    </row>
    <row r="22" spans="4:17" ht="12.75">
      <c r="D22" s="15">
        <v>12</v>
      </c>
      <c r="E22" s="1">
        <f>D22*B10</f>
        <v>0.2431034482758621</v>
      </c>
      <c r="F22">
        <f>B4</f>
        <v>0.9</v>
      </c>
      <c r="G22" s="1">
        <f>$B6-E22</f>
        <v>1.356896551724138</v>
      </c>
      <c r="H22" s="3">
        <f>$B5+E22</f>
        <v>0.555603448275862</v>
      </c>
      <c r="I22" s="2">
        <f t="shared" si="0"/>
        <v>3.836534614720087</v>
      </c>
      <c r="J22" s="2">
        <f t="shared" si="1"/>
        <v>0.6361725123519332</v>
      </c>
      <c r="K22" s="2">
        <f t="shared" si="2"/>
        <v>0.24244863663909993</v>
      </c>
      <c r="L22" s="2">
        <f t="shared" si="3"/>
        <v>0.39372387571283324</v>
      </c>
      <c r="M22" s="2">
        <f t="shared" si="4"/>
        <v>2.368435401520207</v>
      </c>
      <c r="N22" s="2">
        <f t="shared" si="5"/>
        <v>3.1558831529458735</v>
      </c>
      <c r="O22" s="2">
        <f>N22*B3</f>
        <v>6.311766305891747</v>
      </c>
      <c r="P22" s="18">
        <f t="shared" si="6"/>
        <v>0.17219827586206898</v>
      </c>
      <c r="Q22" s="2">
        <f>O22/B12</f>
        <v>195.0154203642007</v>
      </c>
    </row>
    <row r="23" spans="4:17" ht="12.75">
      <c r="D23" s="15">
        <v>13</v>
      </c>
      <c r="E23" s="1">
        <f>D23*B10</f>
        <v>0.2633620689655173</v>
      </c>
      <c r="F23">
        <f>B4</f>
        <v>0.9</v>
      </c>
      <c r="G23" s="1">
        <f>$B6-E23</f>
        <v>1.336637931034483</v>
      </c>
      <c r="H23" s="3">
        <f>$B5+E23</f>
        <v>0.5758620689655173</v>
      </c>
      <c r="I23" s="2">
        <f t="shared" si="0"/>
        <v>3.779254714182653</v>
      </c>
      <c r="J23" s="2">
        <f t="shared" si="1"/>
        <v>0.6361725123519332</v>
      </c>
      <c r="K23" s="2">
        <f t="shared" si="2"/>
        <v>0.26045147894163423</v>
      </c>
      <c r="L23" s="2">
        <f t="shared" si="3"/>
        <v>0.37572103341029894</v>
      </c>
      <c r="M23" s="2">
        <f t="shared" si="4"/>
        <v>2.418143820952119</v>
      </c>
      <c r="N23" s="2">
        <f t="shared" si="5"/>
        <v>3.1695858877727168</v>
      </c>
      <c r="O23" s="2">
        <f>N23*B3</f>
        <v>6.3391717755454335</v>
      </c>
      <c r="P23" s="18">
        <f t="shared" si="6"/>
        <v>0.16206896551724137</v>
      </c>
      <c r="Q23" s="2">
        <f>O23/B12</f>
        <v>195.86217053297727</v>
      </c>
    </row>
    <row r="24" spans="4:17" ht="12.75">
      <c r="D24" s="15">
        <v>14</v>
      </c>
      <c r="E24" s="1">
        <f>D24*B10</f>
        <v>0.28362068965517245</v>
      </c>
      <c r="F24">
        <f>B4</f>
        <v>0.9</v>
      </c>
      <c r="G24" s="1">
        <f>$B6-E24</f>
        <v>1.3163793103448276</v>
      </c>
      <c r="H24" s="3">
        <f>$B5+E24</f>
        <v>0.5961206896551725</v>
      </c>
      <c r="I24" s="2">
        <f t="shared" si="0"/>
        <v>3.7219748136452178</v>
      </c>
      <c r="J24" s="2">
        <f t="shared" si="1"/>
        <v>0.6361725123519332</v>
      </c>
      <c r="K24" s="2">
        <f t="shared" si="2"/>
        <v>0.2790989944542402</v>
      </c>
      <c r="L24" s="2">
        <f t="shared" si="3"/>
        <v>0.357073517897693</v>
      </c>
      <c r="M24" s="2">
        <f t="shared" si="4"/>
        <v>2.465273547543744</v>
      </c>
      <c r="N24" s="2">
        <f t="shared" si="5"/>
        <v>3.17942058333913</v>
      </c>
      <c r="O24" s="2">
        <f>N24*B3</f>
        <v>6.35884116667826</v>
      </c>
      <c r="P24" s="18">
        <f t="shared" si="6"/>
        <v>0.15193965517241376</v>
      </c>
      <c r="Q24" s="2">
        <f>O24/B12</f>
        <v>196.46989813158868</v>
      </c>
    </row>
    <row r="25" spans="4:17" ht="12.75">
      <c r="D25" s="15">
        <v>15</v>
      </c>
      <c r="E25" s="1">
        <f>D25*B10</f>
        <v>0.3038793103448276</v>
      </c>
      <c r="F25">
        <f>B4</f>
        <v>0.9</v>
      </c>
      <c r="G25" s="1">
        <f>$B6-E25</f>
        <v>1.2961206896551725</v>
      </c>
      <c r="H25" s="3">
        <f>$B5+E25</f>
        <v>0.6163793103448276</v>
      </c>
      <c r="I25" s="2">
        <f t="shared" si="0"/>
        <v>3.6646949131077835</v>
      </c>
      <c r="J25" s="2">
        <f t="shared" si="1"/>
        <v>0.6361725123519332</v>
      </c>
      <c r="K25" s="2">
        <f t="shared" si="2"/>
        <v>0.29839118317691776</v>
      </c>
      <c r="L25" s="2">
        <f t="shared" si="3"/>
        <v>0.3377813291750154</v>
      </c>
      <c r="M25" s="2">
        <f t="shared" si="4"/>
        <v>2.5098245812950815</v>
      </c>
      <c r="N25" s="2">
        <f t="shared" si="5"/>
        <v>3.185387239645112</v>
      </c>
      <c r="O25" s="2">
        <f>N25*B3</f>
        <v>6.370774479290224</v>
      </c>
      <c r="P25" s="18">
        <f t="shared" si="6"/>
        <v>0.1418103448275862</v>
      </c>
      <c r="Q25" s="2">
        <f>O25/B12</f>
        <v>196.8386031600349</v>
      </c>
    </row>
    <row r="26" spans="4:17" ht="12.75">
      <c r="D26" s="15">
        <v>16</v>
      </c>
      <c r="E26" s="1">
        <f>D26*B10</f>
        <v>0.3241379310344828</v>
      </c>
      <c r="F26">
        <f>B4</f>
        <v>0.9</v>
      </c>
      <c r="G26" s="1">
        <f>$B6-E26</f>
        <v>1.2758620689655173</v>
      </c>
      <c r="H26" s="3">
        <f>$B5+E26</f>
        <v>0.6366379310344827</v>
      </c>
      <c r="I26" s="2">
        <f t="shared" si="0"/>
        <v>3.607415012570349</v>
      </c>
      <c r="J26" s="2">
        <f t="shared" si="1"/>
        <v>0.6361725123519332</v>
      </c>
      <c r="K26" s="2">
        <f t="shared" si="2"/>
        <v>0.31832804510966706</v>
      </c>
      <c r="L26" s="2">
        <f t="shared" si="3"/>
        <v>0.3178444672422661</v>
      </c>
      <c r="M26" s="2">
        <f t="shared" si="4"/>
        <v>2.5517969222061327</v>
      </c>
      <c r="N26" s="2">
        <f t="shared" si="5"/>
        <v>3.1874858566906648</v>
      </c>
      <c r="O26" s="2">
        <f>N26*B3</f>
        <v>6.3749717133813295</v>
      </c>
      <c r="P26" s="18">
        <f t="shared" si="6"/>
        <v>0.13168103448275864</v>
      </c>
      <c r="Q26" s="2">
        <f>O26/B12</f>
        <v>196.968285618316</v>
      </c>
    </row>
    <row r="27" spans="4:17" ht="12.75">
      <c r="D27" s="15">
        <v>17</v>
      </c>
      <c r="E27" s="1">
        <f>D27*B10</f>
        <v>0.34439655172413797</v>
      </c>
      <c r="F27">
        <f>B4</f>
        <v>0.9</v>
      </c>
      <c r="G27" s="1">
        <f>$B6-E27</f>
        <v>1.255603448275862</v>
      </c>
      <c r="H27" s="3">
        <f>$B5+E27</f>
        <v>0.656896551724138</v>
      </c>
      <c r="I27" s="2">
        <f t="shared" si="0"/>
        <v>3.550135112032914</v>
      </c>
      <c r="J27" s="2">
        <f t="shared" si="1"/>
        <v>0.6361725123519332</v>
      </c>
      <c r="K27" s="2">
        <f t="shared" si="2"/>
        <v>0.33890958025248813</v>
      </c>
      <c r="L27" s="2">
        <f t="shared" si="3"/>
        <v>0.29726293209944504</v>
      </c>
      <c r="M27" s="2">
        <f t="shared" si="4"/>
        <v>2.5911905702768974</v>
      </c>
      <c r="N27" s="2">
        <f t="shared" si="5"/>
        <v>3.1857164344757876</v>
      </c>
      <c r="O27" s="2">
        <f>N27*B3</f>
        <v>6.371432868951575</v>
      </c>
      <c r="P27" s="18">
        <f t="shared" si="6"/>
        <v>0.12155172413793103</v>
      </c>
      <c r="Q27" s="2">
        <f>O27/B12</f>
        <v>196.85894550643195</v>
      </c>
    </row>
    <row r="28" spans="4:17" ht="12.75">
      <c r="D28" s="15">
        <v>18</v>
      </c>
      <c r="E28" s="1">
        <f>D28*B10</f>
        <v>0.36465517241379314</v>
      </c>
      <c r="F28">
        <f>B4</f>
        <v>0.9</v>
      </c>
      <c r="G28" s="1">
        <f>$B6-E28</f>
        <v>1.235344827586207</v>
      </c>
      <c r="H28" s="3">
        <f>$B5+E28</f>
        <v>0.6771551724137932</v>
      </c>
      <c r="I28" s="2">
        <f t="shared" si="0"/>
        <v>3.4928552114954794</v>
      </c>
      <c r="J28" s="2">
        <f t="shared" si="1"/>
        <v>0.6361725123519332</v>
      </c>
      <c r="K28" s="2">
        <f t="shared" si="2"/>
        <v>0.36013578860538087</v>
      </c>
      <c r="L28" s="2">
        <f t="shared" si="3"/>
        <v>0.2760367237465523</v>
      </c>
      <c r="M28" s="2">
        <f t="shared" si="4"/>
        <v>2.628005525507375</v>
      </c>
      <c r="N28" s="2">
        <f t="shared" si="5"/>
        <v>3.1800789730004793</v>
      </c>
      <c r="O28" s="2">
        <f>N28*B3</f>
        <v>6.3601579460009585</v>
      </c>
      <c r="P28" s="18">
        <f t="shared" si="6"/>
        <v>0.11142241379310341</v>
      </c>
      <c r="Q28" s="2">
        <f>O28/B12</f>
        <v>196.51058282438274</v>
      </c>
    </row>
    <row r="29" spans="4:17" ht="12.75">
      <c r="D29" s="15">
        <v>19</v>
      </c>
      <c r="E29" s="1">
        <f>D29*B10</f>
        <v>0.3849137931034483</v>
      </c>
      <c r="F29">
        <f>B4</f>
        <v>0.9</v>
      </c>
      <c r="G29" s="1">
        <f>$B6-E29</f>
        <v>1.2150862068965518</v>
      </c>
      <c r="H29" s="3">
        <f>$B5+E29</f>
        <v>0.6974137931034483</v>
      </c>
      <c r="I29" s="2">
        <f t="shared" si="0"/>
        <v>3.435575310958045</v>
      </c>
      <c r="J29" s="2">
        <f t="shared" si="1"/>
        <v>0.6361725123519332</v>
      </c>
      <c r="K29" s="2">
        <f t="shared" si="2"/>
        <v>0.3820066701683453</v>
      </c>
      <c r="L29" s="2">
        <f t="shared" si="3"/>
        <v>0.2541658421835879</v>
      </c>
      <c r="M29" s="2">
        <f t="shared" si="4"/>
        <v>2.6622417878975657</v>
      </c>
      <c r="N29" s="2">
        <f t="shared" si="5"/>
        <v>3.1705734722647416</v>
      </c>
      <c r="O29" s="2">
        <f>N29*B3</f>
        <v>6.341146944529483</v>
      </c>
      <c r="P29" s="18">
        <f t="shared" si="6"/>
        <v>0.10129310344827586</v>
      </c>
      <c r="Q29" s="2">
        <f>O29/B12</f>
        <v>195.9231975721684</v>
      </c>
    </row>
    <row r="30" spans="4:17" ht="12.75">
      <c r="D30" s="15">
        <v>20</v>
      </c>
      <c r="E30" s="1">
        <f>D30*B10</f>
        <v>0.4051724137931035</v>
      </c>
      <c r="F30">
        <f>B4</f>
        <v>0.9</v>
      </c>
      <c r="G30" s="1">
        <f>$B6-E30</f>
        <v>1.1948275862068967</v>
      </c>
      <c r="H30" s="3">
        <f>$B5+E30</f>
        <v>0.7176724137931034</v>
      </c>
      <c r="I30" s="2">
        <f t="shared" si="0"/>
        <v>3.3782954104206104</v>
      </c>
      <c r="J30" s="2">
        <f t="shared" si="1"/>
        <v>0.6361725123519332</v>
      </c>
      <c r="K30" s="2">
        <f t="shared" si="2"/>
        <v>0.40452222494138135</v>
      </c>
      <c r="L30" s="2">
        <f t="shared" si="3"/>
        <v>0.23165028741055183</v>
      </c>
      <c r="M30" s="2">
        <f t="shared" si="4"/>
        <v>2.6938993574474694</v>
      </c>
      <c r="N30" s="2">
        <f t="shared" si="5"/>
        <v>3.157199932268573</v>
      </c>
      <c r="O30" s="2">
        <f>N30*B3</f>
        <v>6.314399864537146</v>
      </c>
      <c r="P30" s="18">
        <f t="shared" si="6"/>
        <v>0.0911637931034483</v>
      </c>
      <c r="Q30" s="2">
        <f>O30/B12</f>
        <v>195.09678974978883</v>
      </c>
    </row>
    <row r="31" spans="4:17" ht="12.75">
      <c r="D31" s="15">
        <v>21</v>
      </c>
      <c r="E31" s="1">
        <f>D31*B10</f>
        <v>0.42543103448275865</v>
      </c>
      <c r="F31">
        <f>B4</f>
        <v>0.9</v>
      </c>
      <c r="G31" s="1">
        <f>$B6-E31</f>
        <v>1.1745689655172415</v>
      </c>
      <c r="H31" s="3">
        <f>$B5+E31</f>
        <v>0.7379310344827587</v>
      </c>
      <c r="I31" s="2">
        <f t="shared" si="0"/>
        <v>3.321015509883176</v>
      </c>
      <c r="J31" s="2">
        <f t="shared" si="1"/>
        <v>0.6361725123519332</v>
      </c>
      <c r="K31" s="2">
        <f t="shared" si="2"/>
        <v>0.42768245292448925</v>
      </c>
      <c r="L31" s="2">
        <f t="shared" si="3"/>
        <v>0.20849005942744392</v>
      </c>
      <c r="M31" s="2">
        <f t="shared" si="4"/>
        <v>2.7229782341570874</v>
      </c>
      <c r="N31" s="2">
        <f t="shared" si="5"/>
        <v>3.1399583530119752</v>
      </c>
      <c r="O31" s="2">
        <f>N31*B3</f>
        <v>6.2799167060239505</v>
      </c>
      <c r="P31" s="18">
        <f t="shared" si="6"/>
        <v>0.08103448275862069</v>
      </c>
      <c r="Q31" s="2">
        <f>O31/B12</f>
        <v>194.0313593572442</v>
      </c>
    </row>
    <row r="32" spans="4:17" ht="12.75">
      <c r="D32" s="15">
        <v>22</v>
      </c>
      <c r="E32" s="1">
        <f>D32*B10</f>
        <v>0.4456896551724138</v>
      </c>
      <c r="F32">
        <f>B4</f>
        <v>0.9</v>
      </c>
      <c r="G32" s="1">
        <f>$B6-E32</f>
        <v>1.1543103448275862</v>
      </c>
      <c r="H32" s="3">
        <f>$B5+E32</f>
        <v>0.7581896551724139</v>
      </c>
      <c r="I32" s="2">
        <f t="shared" si="0"/>
        <v>3.263735609345741</v>
      </c>
      <c r="J32" s="2">
        <f t="shared" si="1"/>
        <v>0.6361725123519332</v>
      </c>
      <c r="K32" s="2">
        <f t="shared" si="2"/>
        <v>0.4514873541176688</v>
      </c>
      <c r="L32" s="2">
        <f t="shared" si="3"/>
        <v>0.18468515823426435</v>
      </c>
      <c r="M32" s="2">
        <f t="shared" si="4"/>
        <v>2.7494784180264173</v>
      </c>
      <c r="N32" s="2">
        <f t="shared" si="5"/>
        <v>3.118848734494946</v>
      </c>
      <c r="O32" s="2">
        <f>N32*B3</f>
        <v>6.237697468989892</v>
      </c>
      <c r="P32" s="18">
        <f t="shared" si="6"/>
        <v>0.07090517241379307</v>
      </c>
      <c r="Q32" s="2">
        <f>O32/B12</f>
        <v>192.72690639453435</v>
      </c>
    </row>
    <row r="33" spans="4:17" ht="12.75">
      <c r="D33" s="15">
        <v>23</v>
      </c>
      <c r="E33" s="1">
        <f>D33*B10</f>
        <v>0.465948275862069</v>
      </c>
      <c r="F33">
        <f>B4</f>
        <v>0.9</v>
      </c>
      <c r="G33" s="1">
        <f>$B6-E33</f>
        <v>1.134051724137931</v>
      </c>
      <c r="H33" s="3">
        <f>$B5+E33</f>
        <v>0.778448275862069</v>
      </c>
      <c r="I33" s="2">
        <f t="shared" si="0"/>
        <v>3.2064557088083068</v>
      </c>
      <c r="J33" s="2">
        <f t="shared" si="1"/>
        <v>0.6361725123519332</v>
      </c>
      <c r="K33" s="2">
        <f t="shared" si="2"/>
        <v>0.47593692852092</v>
      </c>
      <c r="L33" s="2">
        <f t="shared" si="3"/>
        <v>0.16023558383101316</v>
      </c>
      <c r="M33" s="2">
        <f t="shared" si="4"/>
        <v>2.7733999090554606</v>
      </c>
      <c r="N33" s="2">
        <f t="shared" si="5"/>
        <v>3.093871076717487</v>
      </c>
      <c r="O33" s="2">
        <f>N33*B3</f>
        <v>6.187742153434974</v>
      </c>
      <c r="P33" s="18">
        <f t="shared" si="6"/>
        <v>0.060775862068965514</v>
      </c>
      <c r="Q33" s="2">
        <f>O33/B12</f>
        <v>191.1834308616594</v>
      </c>
    </row>
    <row r="34" spans="4:17" ht="12.75">
      <c r="D34" s="15">
        <v>24</v>
      </c>
      <c r="E34" s="1">
        <f>D34*B10</f>
        <v>0.4862068965517242</v>
      </c>
      <c r="F34">
        <f>B4</f>
        <v>0.9</v>
      </c>
      <c r="G34" s="1">
        <f>$B6-E34</f>
        <v>1.113793103448276</v>
      </c>
      <c r="H34" s="3">
        <f>$B5+E34</f>
        <v>0.7987068965517242</v>
      </c>
      <c r="I34" s="2">
        <f t="shared" si="0"/>
        <v>3.149175808270872</v>
      </c>
      <c r="J34" s="2">
        <f t="shared" si="1"/>
        <v>0.6361725123519332</v>
      </c>
      <c r="K34" s="2">
        <f t="shared" si="2"/>
        <v>0.501031176134243</v>
      </c>
      <c r="L34" s="2">
        <f t="shared" si="3"/>
        <v>0.1351413362176902</v>
      </c>
      <c r="M34" s="2">
        <f t="shared" si="4"/>
        <v>2.7947427072442177</v>
      </c>
      <c r="N34" s="2">
        <f t="shared" si="5"/>
        <v>3.0650253796795983</v>
      </c>
      <c r="O34" s="2">
        <f>N34*B3</f>
        <v>6.130050759359197</v>
      </c>
      <c r="P34" s="18">
        <f t="shared" si="6"/>
        <v>0.0506465517241379</v>
      </c>
      <c r="Q34" s="2">
        <f>O34/B12</f>
        <v>189.40093275861926</v>
      </c>
    </row>
    <row r="35" spans="4:17" ht="12.75">
      <c r="D35" s="15">
        <v>25</v>
      </c>
      <c r="E35" s="1">
        <f>D35*B10</f>
        <v>0.5064655172413793</v>
      </c>
      <c r="F35">
        <f>B4</f>
        <v>0.9</v>
      </c>
      <c r="G35" s="1">
        <f>$B6-E35</f>
        <v>1.0935344827586206</v>
      </c>
      <c r="H35" s="3">
        <f>$B5+E35</f>
        <v>0.8189655172413793</v>
      </c>
      <c r="I35" s="2">
        <f t="shared" si="0"/>
        <v>3.0918959077334374</v>
      </c>
      <c r="J35" s="2">
        <f t="shared" si="1"/>
        <v>0.6361725123519332</v>
      </c>
      <c r="K35" s="2">
        <f t="shared" si="2"/>
        <v>0.5267700969576375</v>
      </c>
      <c r="L35" s="2">
        <f t="shared" si="3"/>
        <v>0.10940241539429563</v>
      </c>
      <c r="M35" s="2">
        <f t="shared" si="4"/>
        <v>2.813506812592687</v>
      </c>
      <c r="N35" s="2">
        <f t="shared" si="5"/>
        <v>3.0323116433812785</v>
      </c>
      <c r="O35" s="2">
        <f>N35*B3</f>
        <v>6.064623286762557</v>
      </c>
      <c r="P35" s="18">
        <f t="shared" si="6"/>
        <v>0.04051724137931034</v>
      </c>
      <c r="Q35" s="2">
        <f>O35/B12</f>
        <v>187.37941208541395</v>
      </c>
    </row>
    <row r="36" spans="4:17" ht="12.75">
      <c r="D36" s="15">
        <v>26</v>
      </c>
      <c r="E36" s="1">
        <f>D36*B10</f>
        <v>0.5267241379310346</v>
      </c>
      <c r="F36">
        <f>B4</f>
        <v>0.9</v>
      </c>
      <c r="G36" s="1">
        <f>$B6-E36</f>
        <v>1.0732758620689655</v>
      </c>
      <c r="H36" s="3">
        <f>$B5+E36</f>
        <v>0.8392241379310346</v>
      </c>
      <c r="I36" s="2">
        <f t="shared" si="0"/>
        <v>3.0346160071960027</v>
      </c>
      <c r="J36" s="2">
        <f t="shared" si="1"/>
        <v>0.6361725123519332</v>
      </c>
      <c r="K36" s="2">
        <f t="shared" si="2"/>
        <v>0.553153690991104</v>
      </c>
      <c r="L36" s="2">
        <f t="shared" si="3"/>
        <v>0.08301882136082916</v>
      </c>
      <c r="M36" s="2">
        <f t="shared" si="4"/>
        <v>2.8296922251008705</v>
      </c>
      <c r="N36" s="2">
        <f t="shared" si="5"/>
        <v>2.995729867822529</v>
      </c>
      <c r="O36" s="2">
        <f>N36*B3</f>
        <v>5.991459735645058</v>
      </c>
      <c r="P36" s="18">
        <f t="shared" si="6"/>
        <v>0.03038793103448273</v>
      </c>
      <c r="Q36" s="2">
        <f>O36/B12</f>
        <v>185.11886884204353</v>
      </c>
    </row>
    <row r="37" spans="4:17" ht="12.75">
      <c r="D37" s="15">
        <v>27</v>
      </c>
      <c r="E37" s="1">
        <f>D37*B10</f>
        <v>0.5469827586206897</v>
      </c>
      <c r="F37">
        <f>B4</f>
        <v>0.9</v>
      </c>
      <c r="G37" s="1">
        <f>$B6-E37</f>
        <v>1.0530172413793104</v>
      </c>
      <c r="H37" s="3">
        <f>$B5+E37</f>
        <v>0.8594827586206897</v>
      </c>
      <c r="I37" s="2">
        <f t="shared" si="0"/>
        <v>2.9773361066585684</v>
      </c>
      <c r="J37" s="2">
        <f t="shared" si="1"/>
        <v>0.6361725123519332</v>
      </c>
      <c r="K37" s="2">
        <f t="shared" si="2"/>
        <v>0.5801819582346419</v>
      </c>
      <c r="L37" s="2">
        <f t="shared" si="3"/>
        <v>0.05599055411729126</v>
      </c>
      <c r="M37" s="2">
        <f t="shared" si="4"/>
        <v>2.843298944768767</v>
      </c>
      <c r="N37" s="2">
        <f t="shared" si="5"/>
        <v>2.9552800530033494</v>
      </c>
      <c r="O37" s="2">
        <f>N37*B3</f>
        <v>5.910560106006699</v>
      </c>
      <c r="P37" s="18">
        <f t="shared" si="6"/>
        <v>0.02025862068965517</v>
      </c>
      <c r="Q37" s="2">
        <f>O37/B12</f>
        <v>182.61930302850794</v>
      </c>
    </row>
    <row r="38" spans="4:17" ht="12.75">
      <c r="D38" s="15">
        <v>28</v>
      </c>
      <c r="E38" s="1">
        <f>D38*$B$10</f>
        <v>0.5672413793103449</v>
      </c>
      <c r="F38">
        <f>$B$4</f>
        <v>0.9</v>
      </c>
      <c r="G38" s="1">
        <f>$B$6-E38</f>
        <v>1.032758620689655</v>
      </c>
      <c r="H38" s="3">
        <f>$B$5+E38</f>
        <v>0.8797413793103449</v>
      </c>
      <c r="I38" s="2">
        <f t="shared" si="0"/>
        <v>2.9200562061211333</v>
      </c>
      <c r="J38" s="2">
        <f t="shared" si="1"/>
        <v>0.6361725123519332</v>
      </c>
      <c r="K38" s="2">
        <f t="shared" si="2"/>
        <v>0.6078548986882517</v>
      </c>
      <c r="L38" s="2">
        <f t="shared" si="3"/>
        <v>0.028317613663681462</v>
      </c>
      <c r="M38" s="2">
        <f t="shared" si="4"/>
        <v>2.8543269715963766</v>
      </c>
      <c r="N38" s="2">
        <f t="shared" si="5"/>
        <v>2.9109621989237393</v>
      </c>
      <c r="O38" s="2">
        <f>N38*$B$3</f>
        <v>5.821924397847479</v>
      </c>
      <c r="P38" s="18">
        <f t="shared" si="6"/>
        <v>0.010129310344827558</v>
      </c>
      <c r="Q38" s="2">
        <f>O38/$B$12</f>
        <v>179.8807146448072</v>
      </c>
    </row>
    <row r="39" spans="1:17" ht="12.75">
      <c r="A39" t="s">
        <v>129</v>
      </c>
      <c r="D39" s="15">
        <v>29</v>
      </c>
      <c r="E39" s="1">
        <f>D39*$B$10</f>
        <v>0.5875</v>
      </c>
      <c r="F39">
        <f>$B$4</f>
        <v>0.9</v>
      </c>
      <c r="G39" s="1">
        <f>$B$6-E39</f>
        <v>1.0125000000000002</v>
      </c>
      <c r="H39" s="3">
        <f>$B$5+E39</f>
        <v>0.9</v>
      </c>
      <c r="I39" s="2">
        <f>(F39*(PI())*G39)</f>
        <v>2.8627763055836994</v>
      </c>
      <c r="J39" s="2">
        <f>((F39/2)^2)*PI()</f>
        <v>0.6361725123519332</v>
      </c>
      <c r="K39" s="2">
        <f>((H39/2)^2)*PI()</f>
        <v>0.6361725123519332</v>
      </c>
      <c r="L39" s="2">
        <f>J39-K39</f>
        <v>0</v>
      </c>
      <c r="M39" s="2">
        <f>(H39*PI())*G39</f>
        <v>2.8627763055836994</v>
      </c>
      <c r="N39" s="2">
        <f>(L39*2)+M39</f>
        <v>2.8627763055836994</v>
      </c>
      <c r="O39" s="2">
        <f>N39*$B$3</f>
        <v>5.725552611167399</v>
      </c>
      <c r="P39" s="18">
        <f t="shared" si="6"/>
        <v>0</v>
      </c>
      <c r="Q39" s="2">
        <f>O39/$B$12</f>
        <v>176.90310369094132</v>
      </c>
    </row>
    <row r="40" ht="12.75">
      <c r="A40" s="9" t="s">
        <v>75</v>
      </c>
    </row>
    <row r="41" ht="12.75">
      <c r="A41" s="9" t="s">
        <v>156</v>
      </c>
    </row>
    <row r="42" ht="12.75">
      <c r="A42" s="19">
        <v>38515</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82</v>
      </c>
    </row>
    <row r="11" spans="1:5" ht="12.75">
      <c r="A11" t="s">
        <v>66</v>
      </c>
      <c r="D11">
        <v>1.24</v>
      </c>
      <c r="E11" t="s">
        <v>43</v>
      </c>
    </row>
    <row r="12" ht="12.75">
      <c r="A12" t="s">
        <v>65</v>
      </c>
    </row>
    <row r="13" ht="12.75">
      <c r="A13" t="s">
        <v>68</v>
      </c>
    </row>
    <row r="17" ht="12.75">
      <c r="A17" t="s">
        <v>83</v>
      </c>
    </row>
    <row r="18" spans="1:5" ht="12.75">
      <c r="A18" t="s">
        <v>84</v>
      </c>
      <c r="B18" t="s">
        <v>85</v>
      </c>
      <c r="C18" t="s">
        <v>86</v>
      </c>
      <c r="D18" t="s">
        <v>87</v>
      </c>
      <c r="E18" t="s">
        <v>88</v>
      </c>
    </row>
    <row r="19" spans="1:5" ht="12.75">
      <c r="A19" t="s">
        <v>89</v>
      </c>
      <c r="B19">
        <v>5</v>
      </c>
      <c r="C19">
        <v>6.875</v>
      </c>
      <c r="D19">
        <v>8.75</v>
      </c>
      <c r="E19">
        <v>12.5</v>
      </c>
    </row>
    <row r="20" spans="1:5" ht="12.75">
      <c r="A20" t="s">
        <v>90</v>
      </c>
      <c r="B20">
        <f>B19-1.25</f>
        <v>3.75</v>
      </c>
      <c r="C20">
        <f>C19-1.25</f>
        <v>5.625</v>
      </c>
      <c r="D20">
        <f>D19-1.25</f>
        <v>7.5</v>
      </c>
      <c r="E20">
        <f>E19-1.25</f>
        <v>11.25</v>
      </c>
    </row>
    <row r="21" spans="1:5" ht="12.75">
      <c r="A21" t="s">
        <v>91</v>
      </c>
      <c r="B21">
        <f>B19-1.375</f>
        <v>3.625</v>
      </c>
      <c r="C21">
        <f>C19-1.375</f>
        <v>5.5</v>
      </c>
      <c r="D21">
        <f>D19-1.375</f>
        <v>7.375</v>
      </c>
      <c r="E21">
        <f>E19-1.375</f>
        <v>11.125</v>
      </c>
    </row>
    <row r="22" spans="1:10" ht="12.75">
      <c r="A22" t="s">
        <v>92</v>
      </c>
      <c r="B22">
        <f>B19+1.0625</f>
        <v>6.0625</v>
      </c>
      <c r="C22">
        <f>C19+1.0625</f>
        <v>7.9375</v>
      </c>
      <c r="D22">
        <f>D19+1.0625</f>
        <v>9.8125</v>
      </c>
      <c r="E22">
        <f>E19+1.0625</f>
        <v>13.5625</v>
      </c>
      <c r="J22" t="s">
        <v>63</v>
      </c>
    </row>
    <row r="23" spans="1:5" ht="12.75">
      <c r="A23" t="s">
        <v>93</v>
      </c>
      <c r="B23">
        <f>B19+0.6875</f>
        <v>5.6875</v>
      </c>
      <c r="C23">
        <f>C19+0.6875</f>
        <v>7.5625</v>
      </c>
      <c r="D23">
        <f>D19+0.6875</f>
        <v>9.4375</v>
      </c>
      <c r="E23">
        <f>E19+0.6875</f>
        <v>13.1875</v>
      </c>
    </row>
    <row r="28" ht="12.75">
      <c r="A28" t="s">
        <v>94</v>
      </c>
    </row>
    <row r="29" spans="1:2" ht="12.75">
      <c r="A29" t="s">
        <v>95</v>
      </c>
      <c r="B29" t="s">
        <v>96</v>
      </c>
    </row>
    <row r="30" spans="1:2" ht="12.75">
      <c r="A30" t="s">
        <v>97</v>
      </c>
      <c r="B30" t="s">
        <v>98</v>
      </c>
    </row>
    <row r="31" spans="1:2" ht="12.75">
      <c r="A31" t="s">
        <v>99</v>
      </c>
      <c r="B31" t="s">
        <v>100</v>
      </c>
    </row>
    <row r="32" spans="1:2" ht="12.75">
      <c r="A32" t="s">
        <v>101</v>
      </c>
      <c r="B32" t="s">
        <v>102</v>
      </c>
    </row>
    <row r="35" spans="1:3" ht="12.75">
      <c r="A35" t="s">
        <v>163</v>
      </c>
      <c r="B35">
        <f>0.178*3.1416</f>
        <v>0.5592048</v>
      </c>
      <c r="C35" t="s">
        <v>164</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2006-07-03T01:53:43Z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