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BatesCalc" sheetId="4" r:id="rId4"/>
    <sheet name="U-calc" sheetId="5" r:id="rId5"/>
    <sheet name="Constants" sheetId="6" r:id="rId6"/>
  </sheets>
  <definedNames/>
  <calcPr fullCalcOnLoad="1"/>
</workbook>
</file>

<file path=xl/sharedStrings.xml><?xml version="1.0" encoding="utf-8"?>
<sst xmlns="http://schemas.openxmlformats.org/spreadsheetml/2006/main" count="275" uniqueCount="174">
  <si>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</si>
  <si>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</si>
  <si>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</si>
  <si>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</si>
  <si>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</si>
  <si>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</si>
  <si>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</si>
  <si>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</si>
  <si>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</si>
  <si>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</si>
  <si>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</si>
  <si>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</si>
  <si>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</si>
  <si>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</si>
  <si>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</si>
  <si>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</si>
  <si>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</si>
  <si>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</si>
  <si>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</si>
  <si>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</si>
  <si>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</si>
  <si>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</si>
  <si>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</si>
  <si>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</si>
  <si>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</si>
  <si>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</si>
  <si>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</si>
  <si>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</si>
  <si>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</si>
  <si>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</si>
  <si>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</si>
  <si>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</si>
  <si>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</si>
  <si>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</si>
  <si>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</si>
  <si>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</si>
  <si>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</si>
  <si>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</si>
  <si>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</si>
  <si>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</si>
  <si>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</si>
  <si>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</si>
  <si>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</si>
  <si>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</si>
  <si>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</si>
  <si>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</si>
  <si>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</si>
  <si>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</si>
  <si>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</si>
  <si>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</si>
  <si>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</si>
  <si>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</si>
  <si>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</si>
  <si>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</si>
  <si>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</si>
  <si>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</si>
  <si>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</si>
  <si>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</si>
  <si>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</si>
  <si>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</si>
  <si>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</si>
  <si>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</si>
  <si>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</si>
  <si>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</si>
  <si>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</si>
  <si>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</si>
  <si>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</si>
  <si>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</si>
  <si>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</si>
  <si>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</si>
  <si>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</si>
  <si>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</si>
  <si>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</si>
  <si>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</si>
  <si>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</si>
  <si>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</si>
  <si>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(KN/SU)</t>
  </si>
  <si>
    <t>*psi</t>
  </si>
  <si>
    <t>* as per Richard Nakka's tables</t>
  </si>
  <si>
    <t xml:space="preserve">Events from video </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</si>
  <si>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</si>
  <si>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</si>
  <si>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</si>
  <si>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</si>
  <si>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</si>
  <si>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</si>
  <si>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</si>
  <si>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</si>
  <si>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</si>
  <si>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</si>
  <si>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</si>
  <si>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</si>
  <si>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</si>
  <si>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</si>
  <si>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</si>
  <si>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</si>
  <si>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</si>
  <si>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</si>
  <si>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</si>
  <si>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</si>
  <si>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</si>
  <si>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</si>
  <si>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</si>
  <si>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</si>
  <si>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</si>
  <si>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</si>
  <si>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</si>
  <si>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</si>
  <si>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</si>
  <si>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</si>
  <si>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</si>
  <si>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</si>
  <si>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</si>
  <si>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</si>
  <si>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</si>
  <si>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</si>
  <si>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</si>
  <si>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</si>
  <si>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</si>
  <si>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</si>
  <si>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</si>
  <si>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</si>
  <si>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</si>
  <si>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</si>
  <si>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</si>
  <si>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</si>
  <si>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</si>
  <si>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</si>
  <si>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</si>
  <si>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</si>
  <si>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</si>
  <si>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</si>
  <si>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</si>
  <si>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</si>
  <si>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Bates Grain Kn Calculator</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</si>
  <si>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</si>
  <si>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</si>
  <si>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</si>
  <si>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</si>
  <si>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</si>
  <si>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</si>
  <si>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</si>
  <si>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</si>
  <si>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</si>
  <si>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</si>
  <si>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</si>
  <si>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</si>
  <si>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</si>
  <si>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</si>
  <si>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This sample uses millimeters, but decimal inches works fine.</t>
  </si>
  <si>
    <t>(See Note 4)</t>
  </si>
  <si>
    <t>Core area:</t>
  </si>
  <si>
    <t>Core/nozzle ratio:</t>
  </si>
  <si>
    <t>Version 2m</t>
  </si>
  <si>
    <t>29mm inhibitor, 3.5 inch length makes 1 turn plus a little overlap</t>
  </si>
  <si>
    <t>per linear inch</t>
  </si>
  <si>
    <t>Average of values encompassing the range in which this motor tested</t>
  </si>
  <si>
    <t>Uninhibited Grain Kn Calculator</t>
  </si>
  <si>
    <t>This sample uses decimal inches, but millimeters works fine too.</t>
  </si>
  <si>
    <t>K43 thru 44</t>
  </si>
  <si>
    <t>end</t>
  </si>
  <si>
    <t>12-10-06B</t>
  </si>
  <si>
    <t>18mm model rocket "D" motor with 4 BATES grains</t>
  </si>
  <si>
    <t>BATES grains</t>
  </si>
  <si>
    <t>6 seconds per inch at 1 atm</t>
  </si>
  <si>
    <t>Data from bath scale load cell II, cable run to INA 125 amp C, gain set at 32 ohms, switches 4 &amp; 5 on</t>
  </si>
  <si>
    <t>Grains inhibited with 1 layer Nashua 322 foil tape</t>
  </si>
  <si>
    <t>Delay grain ends</t>
  </si>
  <si>
    <t>Delay:</t>
  </si>
  <si>
    <t>"Jaggies" in thrust curve due to use of bathroom scale test stand, low resolution at this low thrust level.</t>
  </si>
  <si>
    <t>Propellant is catalyzed rcandy, batch 11/25/06A, burns 6 seconds per inch at 1 atm.</t>
  </si>
  <si>
    <t>True!  Negative erosion is due to build-up of slag, probably from header burn</t>
  </si>
  <si>
    <t>Deep dip in thrust near peak is thought to be an electro/mechanical artifact.</t>
  </si>
  <si>
    <t>11/25/06A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</si>
</sst>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2">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8" fillId="0" borderId="0" xfId="0" applyFont="1" applyAlignment="1">
      <alignment/>
    </xf>
    <xf numFmtId="0" fontId="0" fillId="0" borderId="0" xfId="0" applyAlignment="1">
      <alignment horizontal="center"/>
    </xf>
    <xf numFmtId="0" fontId="9" fillId="0" borderId="0" xfId="0" applyFont="1" applyAlignment="1">
      <alignment/>
    </xf>
    <xf numFmtId="0" fontId="10" fillId="0" borderId="0" xfId="0" applyFont="1" applyAlignment="1">
      <alignment/>
    </xf>
    <xf numFmtId="0" fontId="4" fillId="0" borderId="0" xfId="0" applyFont="1" applyAlignment="1">
      <alignment/>
    </xf>
    <xf numFmtId="1" fontId="0" fillId="0" borderId="0" xfId="0" applyNumberFormat="1" applyAlignment="1">
      <alignment/>
    </xf>
    <xf numFmtId="164" fontId="11"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18mm casing, 4 BATES grains</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Data!$B$10:$B$181</c:f>
              <c:numCache>
                <c:ptCount val="172"/>
                <c:pt idx="0">
                  <c:v>0</c:v>
                </c:pt>
                <c:pt idx="1">
                  <c:v>0</c:v>
                </c:pt>
                <c:pt idx="2">
                  <c:v>0</c:v>
                </c:pt>
                <c:pt idx="3">
                  <c:v>0</c:v>
                </c:pt>
                <c:pt idx="4">
                  <c:v>0</c:v>
                </c:pt>
                <c:pt idx="5">
                  <c:v>0</c:v>
                </c:pt>
                <c:pt idx="6">
                  <c:v>0</c:v>
                </c:pt>
                <c:pt idx="7">
                  <c:v>0</c:v>
                </c:pt>
                <c:pt idx="8">
                  <c:v>0</c:v>
                </c:pt>
                <c:pt idx="9">
                  <c:v>0</c:v>
                </c:pt>
                <c:pt idx="10">
                  <c:v>0</c:v>
                </c:pt>
                <c:pt idx="11">
                  <c:v>0</c:v>
                </c:pt>
                <c:pt idx="12">
                  <c:v>0</c:v>
                </c:pt>
                <c:pt idx="13">
                  <c:v>0.5128031999999934</c:v>
                </c:pt>
                <c:pt idx="14">
                  <c:v>0.5128031999999934</c:v>
                </c:pt>
                <c:pt idx="15">
                  <c:v>0.5128031999999934</c:v>
                </c:pt>
                <c:pt idx="16">
                  <c:v>0.5128031999999934</c:v>
                </c:pt>
                <c:pt idx="17">
                  <c:v>2.0538425599999925</c:v>
                </c:pt>
                <c:pt idx="18">
                  <c:v>4.11031487999999</c:v>
                </c:pt>
                <c:pt idx="19">
                  <c:v>4.623118079999998</c:v>
                </c:pt>
                <c:pt idx="20">
                  <c:v>3.5948819199999917</c:v>
                </c:pt>
                <c:pt idx="21">
                  <c:v>3.5948819199999917</c:v>
                </c:pt>
                <c:pt idx="22">
                  <c:v>4.623118079999998</c:v>
                </c:pt>
                <c:pt idx="23">
                  <c:v>5.135921279999991</c:v>
                </c:pt>
                <c:pt idx="24">
                  <c:v>4.623118079999998</c:v>
                </c:pt>
                <c:pt idx="25">
                  <c:v>4.623118079999998</c:v>
                </c:pt>
                <c:pt idx="26">
                  <c:v>5.135921279999991</c:v>
                </c:pt>
                <c:pt idx="27">
                  <c:v>5.648724479999984</c:v>
                </c:pt>
                <c:pt idx="28">
                  <c:v>5.648724479999984</c:v>
                </c:pt>
                <c:pt idx="29">
                  <c:v>5.135921279999991</c:v>
                </c:pt>
                <c:pt idx="30">
                  <c:v>5.135921279999991</c:v>
                </c:pt>
                <c:pt idx="31">
                  <c:v>5.648724479999984</c:v>
                </c:pt>
                <c:pt idx="32">
                  <c:v>5.648724479999984</c:v>
                </c:pt>
                <c:pt idx="33">
                  <c:v>5.648724479999984</c:v>
                </c:pt>
                <c:pt idx="34">
                  <c:v>5.648724479999984</c:v>
                </c:pt>
                <c:pt idx="35">
                  <c:v>6.164157439999997</c:v>
                </c:pt>
                <c:pt idx="36">
                  <c:v>6.164157439999997</c:v>
                </c:pt>
                <c:pt idx="37">
                  <c:v>6.164157439999997</c:v>
                </c:pt>
                <c:pt idx="38">
                  <c:v>6.164157439999997</c:v>
                </c:pt>
                <c:pt idx="39">
                  <c:v>6.164157439999997</c:v>
                </c:pt>
                <c:pt idx="40">
                  <c:v>6.67696063999999</c:v>
                </c:pt>
                <c:pt idx="41">
                  <c:v>6.67696063999999</c:v>
                </c:pt>
                <c:pt idx="42">
                  <c:v>6.67696063999999</c:v>
                </c:pt>
                <c:pt idx="43">
                  <c:v>7.189763839999998</c:v>
                </c:pt>
                <c:pt idx="44">
                  <c:v>7.189763839999998</c:v>
                </c:pt>
                <c:pt idx="45">
                  <c:v>7.189763839999998</c:v>
                </c:pt>
                <c:pt idx="46">
                  <c:v>7.189763839999998</c:v>
                </c:pt>
                <c:pt idx="47">
                  <c:v>7.705196799999996</c:v>
                </c:pt>
                <c:pt idx="48">
                  <c:v>7.705196799999996</c:v>
                </c:pt>
                <c:pt idx="49">
                  <c:v>7.705196799999996</c:v>
                </c:pt>
                <c:pt idx="50">
                  <c:v>8.21799999999999</c:v>
                </c:pt>
                <c:pt idx="51">
                  <c:v>8.21799999999999</c:v>
                </c:pt>
                <c:pt idx="52">
                  <c:v>8.21799999999999</c:v>
                </c:pt>
                <c:pt idx="53">
                  <c:v>8.730803199999997</c:v>
                </c:pt>
                <c:pt idx="54">
                  <c:v>8.730803199999997</c:v>
                </c:pt>
                <c:pt idx="55">
                  <c:v>8.730803199999997</c:v>
                </c:pt>
                <c:pt idx="56">
                  <c:v>8.730803199999997</c:v>
                </c:pt>
                <c:pt idx="57">
                  <c:v>8.730803199999997</c:v>
                </c:pt>
                <c:pt idx="58">
                  <c:v>8.730803199999997</c:v>
                </c:pt>
                <c:pt idx="59">
                  <c:v>8.730803199999997</c:v>
                </c:pt>
                <c:pt idx="60">
                  <c:v>8.730803199999997</c:v>
                </c:pt>
                <c:pt idx="61">
                  <c:v>8.730803199999997</c:v>
                </c:pt>
                <c:pt idx="62">
                  <c:v>8.730803199999997</c:v>
                </c:pt>
                <c:pt idx="63">
                  <c:v>8.730803199999997</c:v>
                </c:pt>
                <c:pt idx="64">
                  <c:v>9.246236159999995</c:v>
                </c:pt>
                <c:pt idx="65">
                  <c:v>9.246236159999995</c:v>
                </c:pt>
                <c:pt idx="66">
                  <c:v>9.246236159999995</c:v>
                </c:pt>
                <c:pt idx="67">
                  <c:v>9.246236159999995</c:v>
                </c:pt>
                <c:pt idx="68">
                  <c:v>4.11031487999999</c:v>
                </c:pt>
                <c:pt idx="69">
                  <c:v>8.730803199999997</c:v>
                </c:pt>
                <c:pt idx="70">
                  <c:v>9.246236159999995</c:v>
                </c:pt>
                <c:pt idx="71">
                  <c:v>9.246236159999995</c:v>
                </c:pt>
                <c:pt idx="72">
                  <c:v>9.246236159999995</c:v>
                </c:pt>
                <c:pt idx="73">
                  <c:v>9.246236159999995</c:v>
                </c:pt>
                <c:pt idx="74">
                  <c:v>9.246236159999995</c:v>
                </c:pt>
                <c:pt idx="75">
                  <c:v>9.246236159999995</c:v>
                </c:pt>
                <c:pt idx="76">
                  <c:v>9.246236159999995</c:v>
                </c:pt>
                <c:pt idx="77">
                  <c:v>9.759039360000003</c:v>
                </c:pt>
                <c:pt idx="78">
                  <c:v>9.759039360000003</c:v>
                </c:pt>
                <c:pt idx="79">
                  <c:v>9.246236159999995</c:v>
                </c:pt>
                <c:pt idx="80">
                  <c:v>8.730803199999997</c:v>
                </c:pt>
                <c:pt idx="81">
                  <c:v>9.246236159999995</c:v>
                </c:pt>
                <c:pt idx="82">
                  <c:v>8.21799999999999</c:v>
                </c:pt>
                <c:pt idx="83">
                  <c:v>7.189763839999998</c:v>
                </c:pt>
                <c:pt idx="84">
                  <c:v>7.705196799999996</c:v>
                </c:pt>
                <c:pt idx="85">
                  <c:v>8.21799999999999</c:v>
                </c:pt>
                <c:pt idx="86">
                  <c:v>7.705196799999996</c:v>
                </c:pt>
                <c:pt idx="87">
                  <c:v>6.164157439999997</c:v>
                </c:pt>
                <c:pt idx="88">
                  <c:v>6.164157439999997</c:v>
                </c:pt>
                <c:pt idx="89">
                  <c:v>6.164157439999997</c:v>
                </c:pt>
                <c:pt idx="90">
                  <c:v>6.164157439999997</c:v>
                </c:pt>
                <c:pt idx="91">
                  <c:v>5.648724479999984</c:v>
                </c:pt>
                <c:pt idx="92">
                  <c:v>5.135921279999991</c:v>
                </c:pt>
                <c:pt idx="93">
                  <c:v>5.135921279999991</c:v>
                </c:pt>
                <c:pt idx="94">
                  <c:v>5.135921279999991</c:v>
                </c:pt>
                <c:pt idx="95">
                  <c:v>5.135921279999991</c:v>
                </c:pt>
                <c:pt idx="96">
                  <c:v>4.623118079999998</c:v>
                </c:pt>
                <c:pt idx="97">
                  <c:v>4.11031487999999</c:v>
                </c:pt>
                <c:pt idx="98">
                  <c:v>4.623118079999998</c:v>
                </c:pt>
                <c:pt idx="99">
                  <c:v>4.11031487999999</c:v>
                </c:pt>
                <c:pt idx="100">
                  <c:v>4.623118079999998</c:v>
                </c:pt>
                <c:pt idx="101">
                  <c:v>4.11031487999999</c:v>
                </c:pt>
                <c:pt idx="102">
                  <c:v>4.11031487999999</c:v>
                </c:pt>
                <c:pt idx="103">
                  <c:v>4.11031487999999</c:v>
                </c:pt>
                <c:pt idx="104">
                  <c:v>4.11031487999999</c:v>
                </c:pt>
                <c:pt idx="105">
                  <c:v>4.11031487999999</c:v>
                </c:pt>
                <c:pt idx="106">
                  <c:v>4.11031487999999</c:v>
                </c:pt>
                <c:pt idx="107">
                  <c:v>4.11031487999999</c:v>
                </c:pt>
                <c:pt idx="108">
                  <c:v>4.11031487999999</c:v>
                </c:pt>
                <c:pt idx="109">
                  <c:v>3.0820787199999984</c:v>
                </c:pt>
                <c:pt idx="110">
                  <c:v>3.0820787199999984</c:v>
                </c:pt>
                <c:pt idx="111">
                  <c:v>3.5948819199999917</c:v>
                </c:pt>
                <c:pt idx="112">
                  <c:v>3.0820787199999984</c:v>
                </c:pt>
                <c:pt idx="113">
                  <c:v>3.0820787199999984</c:v>
                </c:pt>
                <c:pt idx="114">
                  <c:v>3.0820787199999984</c:v>
                </c:pt>
                <c:pt idx="115">
                  <c:v>3.0820787199999984</c:v>
                </c:pt>
                <c:pt idx="116">
                  <c:v>3.0820787199999984</c:v>
                </c:pt>
                <c:pt idx="117">
                  <c:v>3.0820787199999984</c:v>
                </c:pt>
                <c:pt idx="118">
                  <c:v>3.0820787199999984</c:v>
                </c:pt>
                <c:pt idx="119">
                  <c:v>3.0820787199999984</c:v>
                </c:pt>
                <c:pt idx="120">
                  <c:v>3.0820787199999984</c:v>
                </c:pt>
                <c:pt idx="121">
                  <c:v>3.0820787199999984</c:v>
                </c:pt>
                <c:pt idx="122">
                  <c:v>2.569275519999991</c:v>
                </c:pt>
                <c:pt idx="123">
                  <c:v>3.0820787199999984</c:v>
                </c:pt>
                <c:pt idx="124">
                  <c:v>2.569275519999991</c:v>
                </c:pt>
                <c:pt idx="125">
                  <c:v>2.569275519999991</c:v>
                </c:pt>
                <c:pt idx="126">
                  <c:v>2.569275519999991</c:v>
                </c:pt>
                <c:pt idx="127">
                  <c:v>2.569275519999991</c:v>
                </c:pt>
                <c:pt idx="128">
                  <c:v>2.569275519999991</c:v>
                </c:pt>
                <c:pt idx="129">
                  <c:v>2.0538425599999925</c:v>
                </c:pt>
                <c:pt idx="130">
                  <c:v>2.0538425599999925</c:v>
                </c:pt>
                <c:pt idx="131">
                  <c:v>2.0538425599999925</c:v>
                </c:pt>
                <c:pt idx="132">
                  <c:v>2.0538425599999925</c:v>
                </c:pt>
                <c:pt idx="133">
                  <c:v>1.5410393599999992</c:v>
                </c:pt>
                <c:pt idx="134">
                  <c:v>1.5410393599999992</c:v>
                </c:pt>
                <c:pt idx="135">
                  <c:v>1.5410393599999992</c:v>
                </c:pt>
                <c:pt idx="136">
                  <c:v>1.5410393599999992</c:v>
                </c:pt>
                <c:pt idx="137">
                  <c:v>1.0282361599999916</c:v>
                </c:pt>
                <c:pt idx="138">
                  <c:v>1.0282361599999916</c:v>
                </c:pt>
                <c:pt idx="139">
                  <c:v>1.0282361599999916</c:v>
                </c:pt>
                <c:pt idx="140">
                  <c:v>1.0282361599999916</c:v>
                </c:pt>
                <c:pt idx="141">
                  <c:v>0.5128031999999934</c:v>
                </c:pt>
                <c:pt idx="142">
                  <c:v>0.5128031999999934</c:v>
                </c:pt>
                <c:pt idx="143">
                  <c:v>0.5128031999999934</c:v>
                </c:pt>
                <c:pt idx="144">
                  <c:v>0.5128031999999934</c:v>
                </c:pt>
                <c:pt idx="145">
                  <c:v>0.5128031999999934</c:v>
                </c:pt>
                <c:pt idx="146">
                  <c:v>0.5128031999999934</c:v>
                </c:pt>
                <c:pt idx="147">
                  <c:v>0.5128031999999934</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numCache>
            </c:numRef>
          </c:val>
          <c:smooth val="0"/>
        </c:ser>
        <c:axId val="7223468"/>
        <c:axId val="57551117"/>
      </c:lineChart>
      <c:catAx>
        <c:axId val="7223468"/>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57551117"/>
        <c:crosses val="autoZero"/>
        <c:auto val="1"/>
        <c:lblOffset val="100"/>
        <c:noMultiLvlLbl val="0"/>
      </c:catAx>
      <c:valAx>
        <c:axId val="57551117"/>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7223468"/>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ptCount val="4"/>
                <c:pt idx="0">
                  <c:v>0</c:v>
                </c:pt>
                <c:pt idx="1">
                  <c:v>0</c:v>
                </c:pt>
                <c:pt idx="2">
                  <c:v>0</c:v>
                </c:pt>
                <c:pt idx="3">
                  <c:v>0</c:v>
                </c:pt>
              </c:numCache>
            </c:numRef>
          </c:val>
          <c:smooth val="0"/>
        </c:ser>
        <c:axId val="40481974"/>
        <c:axId val="2394087"/>
      </c:lineChart>
      <c:catAx>
        <c:axId val="40481974"/>
        <c:scaling>
          <c:orientation val="minMax"/>
        </c:scaling>
        <c:axPos val="b"/>
        <c:delete val="0"/>
        <c:numFmt formatCode="General" sourceLinked="1"/>
        <c:majorTickMark val="out"/>
        <c:minorTickMark val="none"/>
        <c:tickLblPos val="nextTo"/>
        <c:crossAx val="2394087"/>
        <c:crosses val="autoZero"/>
        <c:auto val="1"/>
        <c:lblOffset val="100"/>
        <c:noMultiLvlLbl val="0"/>
      </c:catAx>
      <c:valAx>
        <c:axId val="2394087"/>
        <c:scaling>
          <c:orientation val="minMax"/>
          <c:max val="50"/>
          <c:min val="0"/>
        </c:scaling>
        <c:axPos val="l"/>
        <c:majorGridlines/>
        <c:delete val="0"/>
        <c:numFmt formatCode="0.00" sourceLinked="0"/>
        <c:majorTickMark val="out"/>
        <c:minorTickMark val="none"/>
        <c:tickLblPos val="nextTo"/>
        <c:crossAx val="40481974"/>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Data!$B$10:$B$181</c:f>
              <c:numCache>
                <c:ptCount val="1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numCache>
            </c:numRef>
          </c:val>
          <c:smooth val="0"/>
        </c:ser>
        <c:marker val="1"/>
        <c:axId val="40550624"/>
        <c:axId val="7405537"/>
      </c:lineChart>
      <c:catAx>
        <c:axId val="40550624"/>
        <c:scaling>
          <c:orientation val="minMax"/>
        </c:scaling>
        <c:axPos val="b"/>
        <c:delete val="0"/>
        <c:numFmt formatCode="General" sourceLinked="1"/>
        <c:majorTickMark val="out"/>
        <c:minorTickMark val="none"/>
        <c:tickLblPos val="nextTo"/>
        <c:crossAx val="7405537"/>
        <c:crosses val="autoZero"/>
        <c:auto val="1"/>
        <c:lblOffset val="100"/>
        <c:noMultiLvlLbl val="0"/>
      </c:catAx>
      <c:valAx>
        <c:axId val="7405537"/>
        <c:scaling>
          <c:orientation val="minMax"/>
        </c:scaling>
        <c:axPos val="l"/>
        <c:majorGridlines/>
        <c:delete val="0"/>
        <c:numFmt formatCode="General" sourceLinked="1"/>
        <c:majorTickMark val="out"/>
        <c:minorTickMark val="none"/>
        <c:tickLblPos val="nextTo"/>
        <c:crossAx val="40550624"/>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
          <c:y val="0.0365"/>
          <c:w val="0.8242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BatesCalc!$Q$10:$Q$39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3733290"/>
        <c:axId val="4094715"/>
      </c:lineChart>
      <c:catAx>
        <c:axId val="3733290"/>
        <c:scaling>
          <c:orientation val="minMax"/>
        </c:scaling>
        <c:axPos val="b"/>
        <c:delete val="0"/>
        <c:numFmt formatCode="General" sourceLinked="1"/>
        <c:majorTickMark val="out"/>
        <c:minorTickMark val="none"/>
        <c:tickLblPos val="nextTo"/>
        <c:crossAx val="4094715"/>
        <c:crosses val="autoZero"/>
        <c:auto val="1"/>
        <c:lblOffset val="100"/>
        <c:noMultiLvlLbl val="0"/>
      </c:catAx>
      <c:valAx>
        <c:axId val="4094715"/>
        <c:scaling>
          <c:orientation val="minMax"/>
          <c:max val="350"/>
          <c:min val="0"/>
        </c:scaling>
        <c:axPos val="l"/>
        <c:majorGridlines/>
        <c:delete val="0"/>
        <c:numFmt formatCode="0" sourceLinked="0"/>
        <c:majorTickMark val="out"/>
        <c:minorTickMark val="none"/>
        <c:tickLblPos val="nextTo"/>
        <c:crossAx val="3733290"/>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05"/>
          <c:y val="0.0365"/>
          <c:w val="0.8335"/>
          <c:h val="0.774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ptCount val="30"/>
                <c:pt idx="0">
                  <c:v>285.5212084487535</c:v>
                </c:pt>
                <c:pt idx="1">
                  <c:v>282.8663145666517</c:v>
                </c:pt>
                <c:pt idx="2">
                  <c:v>280.1712026022642</c:v>
                </c:pt>
                <c:pt idx="3">
                  <c:v>277.4358725555911</c:v>
                </c:pt>
                <c:pt idx="4">
                  <c:v>274.66032442663237</c:v>
                </c:pt>
                <c:pt idx="5">
                  <c:v>271.84455821538796</c:v>
                </c:pt>
                <c:pt idx="6">
                  <c:v>268.98857392185795</c:v>
                </c:pt>
                <c:pt idx="7">
                  <c:v>266.09237154604233</c:v>
                </c:pt>
                <c:pt idx="8">
                  <c:v>263.1559510879411</c:v>
                </c:pt>
                <c:pt idx="9">
                  <c:v>260.1793125475542</c:v>
                </c:pt>
                <c:pt idx="10">
                  <c:v>257.16245592488167</c:v>
                </c:pt>
                <c:pt idx="11">
                  <c:v>254.10538121992352</c:v>
                </c:pt>
                <c:pt idx="12">
                  <c:v>251.00808843267978</c:v>
                </c:pt>
                <c:pt idx="13">
                  <c:v>247.87057756315036</c:v>
                </c:pt>
                <c:pt idx="14">
                  <c:v>244.69284861133528</c:v>
                </c:pt>
                <c:pt idx="15">
                  <c:v>241.47490157723462</c:v>
                </c:pt>
                <c:pt idx="16">
                  <c:v>238.21673646084832</c:v>
                </c:pt>
                <c:pt idx="17">
                  <c:v>234.91835326217637</c:v>
                </c:pt>
                <c:pt idx="18">
                  <c:v>231.57975198121883</c:v>
                </c:pt>
                <c:pt idx="19">
                  <c:v>228.20093261797555</c:v>
                </c:pt>
                <c:pt idx="20">
                  <c:v>224.78189517244675</c:v>
                </c:pt>
                <c:pt idx="21">
                  <c:v>221.32263964463226</c:v>
                </c:pt>
                <c:pt idx="22">
                  <c:v>217.8231660345322</c:v>
                </c:pt>
                <c:pt idx="23">
                  <c:v>214.28347434214643</c:v>
                </c:pt>
                <c:pt idx="24">
                  <c:v>210.7035645674751</c:v>
                </c:pt>
                <c:pt idx="25">
                  <c:v>207.08343671051807</c:v>
                </c:pt>
                <c:pt idx="26">
                  <c:v>203.42309077127547</c:v>
                </c:pt>
                <c:pt idx="27">
                  <c:v>199.7225267497472</c:v>
                </c:pt>
                <c:pt idx="28">
                  <c:v>195.98174464593333</c:v>
                </c:pt>
                <c:pt idx="29">
                  <c:v>192.20074445983383</c:v>
                </c:pt>
              </c:numCache>
            </c:numRef>
          </c:val>
          <c:smooth val="0"/>
        </c:ser>
        <c:axId val="30478740"/>
        <c:axId val="10355509"/>
      </c:lineChart>
      <c:catAx>
        <c:axId val="30478740"/>
        <c:scaling>
          <c:orientation val="minMax"/>
        </c:scaling>
        <c:axPos val="b"/>
        <c:delete val="0"/>
        <c:numFmt formatCode="General" sourceLinked="1"/>
        <c:majorTickMark val="out"/>
        <c:minorTickMark val="none"/>
        <c:tickLblPos val="nextTo"/>
        <c:crossAx val="10355509"/>
        <c:crosses val="autoZero"/>
        <c:auto val="1"/>
        <c:lblOffset val="100"/>
        <c:noMultiLvlLbl val="0"/>
      </c:catAx>
      <c:valAx>
        <c:axId val="10355509"/>
        <c:scaling>
          <c:orientation val="minMax"/>
          <c:max val="350"/>
          <c:min val="0"/>
        </c:scaling>
        <c:axPos val="l"/>
        <c:majorGridlines/>
        <c:delete val="0"/>
        <c:numFmt formatCode="0" sourceLinked="0"/>
        <c:majorTickMark val="out"/>
        <c:minorTickMark val="none"/>
        <c:tickLblPos val="nextTo"/>
        <c:crossAx val="30478740"/>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0.12225</cdr:x>
      <cdr:y>0.0505</cdr:y>
    </cdr:from>
    <cdr:to>
      <cdr:x>0.87</cdr:x>
      <cdr:y>0.143</cdr:y>
    </cdr:to>
    <cdr:sp>
      <cdr:nvSpPr>
        <cdr:cNvPr id="1" name="TextBox 1"/>
        <cdr:cNvSpPr txBox="1">
          <a:spLocks noChangeArrowheads="1"/>
        </cdr:cNvSpPr>
      </cdr:nvSpPr>
      <cdr:spPr>
        <a:xfrm>
          <a:off x="266700" y="104775"/>
          <a:ext cx="163830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Lb/Volt - 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18mm motor using tubing from FireFox.  This tubing is 3/4ths inch OD, 1/2 inch ID, so has a wall thickness of 1/8th inch.  Nozzle rammed of Bentonite clay in three 1/4tsp increments.  Nozzle length is 3/4th inch.  Tube is 4-5/16ths inch long, a "leftover" after cutting seven 2-3/4ths inch motor tubes from a 24 inch tube. 
Grains are molded in two of my regular 1.5 inch molding tubes, then wrapped with 1 layer Nashua 322 and cut in half to make 4 little grains.
This leaves only about 0.3 inch of head-end space for plug/delay grain.  
Ignitor is bridge wire with a tiny bit of coffee-filter fuse paper wrapped around the end.  
Fired on new bath scale test stand, no amp inside.  Instead, extended load cell cable wires run to INA125 Amp C, clamped directly into circuitboard terminals.  
Very quick rise to pressure, short, strong burn, 2.3 second delay.  I am surprised and pleased that the short head-end plug held under that pressure, and being partially burned away towards the end of the burn.  
This would make an effective small rocket motor.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328612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0668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25908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664845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2657475" y="95250"/>
          <a:ext cx="5143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2619375" y="276225"/>
          <a:ext cx="5524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2619375" y="295275"/>
          <a:ext cx="5524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2619375" y="314325"/>
          <a:ext cx="55245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2628900" y="323850"/>
          <a:ext cx="56197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66675</xdr:rowOff>
    </xdr:from>
    <xdr:to>
      <xdr:col>2</xdr:col>
      <xdr:colOff>1419225</xdr:colOff>
      <xdr:row>36</xdr:row>
      <xdr:rowOff>19050</xdr:rowOff>
    </xdr:to>
    <xdr:graphicFrame>
      <xdr:nvGraphicFramePr>
        <xdr:cNvPr id="1" name="Chart 1"/>
        <xdr:cNvGraphicFramePr/>
      </xdr:nvGraphicFramePr>
      <xdr:xfrm>
        <a:off x="0" y="3143250"/>
        <a:ext cx="47148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3144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3" name="Rectangle 4"/>
        <xdr:cNvSpPr>
          <a:spLocks/>
        </xdr:cNvSpPr>
      </xdr:nvSpPr>
      <xdr:spPr>
        <a:xfrm>
          <a:off x="9525" y="314325"/>
          <a:ext cx="3324225"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4" name="Line 5"/>
        <xdr:cNvSpPr>
          <a:spLocks/>
        </xdr:cNvSpPr>
      </xdr:nvSpPr>
      <xdr:spPr>
        <a:xfrm>
          <a:off x="8505825"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5" name="Line 6"/>
        <xdr:cNvSpPr>
          <a:spLocks/>
        </xdr:cNvSpPr>
      </xdr:nvSpPr>
      <xdr:spPr>
        <a:xfrm flipH="1">
          <a:off x="3390900"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6" name="Line 7"/>
        <xdr:cNvSpPr>
          <a:spLocks/>
        </xdr:cNvSpPr>
      </xdr:nvSpPr>
      <xdr:spPr>
        <a:xfrm flipH="1">
          <a:off x="3352800"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7" name="Line 8"/>
        <xdr:cNvSpPr>
          <a:spLocks/>
        </xdr:cNvSpPr>
      </xdr:nvSpPr>
      <xdr:spPr>
        <a:xfrm flipH="1">
          <a:off x="3352800"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8" name="Line 9"/>
        <xdr:cNvSpPr>
          <a:spLocks/>
        </xdr:cNvSpPr>
      </xdr:nvSpPr>
      <xdr:spPr>
        <a:xfrm flipH="1">
          <a:off x="3352800"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9" name="Line 10"/>
        <xdr:cNvSpPr>
          <a:spLocks/>
        </xdr:cNvSpPr>
      </xdr:nvSpPr>
      <xdr:spPr>
        <a:xfrm flipH="1">
          <a:off x="3362325"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0"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6.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161</v>
      </c>
      <c r="B1" t="s">
        <v>162</v>
      </c>
    </row>
    <row r="2" ht="12.75">
      <c r="B2" t="s">
        <v>170</v>
      </c>
    </row>
    <row r="3" ht="12.75">
      <c r="B3" t="s">
        <v>166</v>
      </c>
    </row>
    <row r="4" ht="12.75">
      <c r="B4" t="s">
        <v>169</v>
      </c>
    </row>
    <row r="5" ht="12.75">
      <c r="B5" t="s">
        <v>172</v>
      </c>
    </row>
    <row r="8" spans="3:7" ht="12.75">
      <c r="C8" t="s">
        <v>6</v>
      </c>
      <c r="F8" t="s">
        <v>6</v>
      </c>
      <c r="G8" t="s">
        <v>6</v>
      </c>
    </row>
    <row r="9" spans="9:13" ht="12.75">
      <c r="I9" t="s">
        <v>47</v>
      </c>
      <c r="J9">
        <v>1</v>
      </c>
      <c r="K9">
        <v>2</v>
      </c>
      <c r="L9">
        <v>3</v>
      </c>
      <c r="M9">
        <v>4</v>
      </c>
    </row>
    <row r="10" spans="9:10" ht="12.75">
      <c r="I10" t="s">
        <v>13</v>
      </c>
      <c r="J10" s="5" t="s">
        <v>163</v>
      </c>
    </row>
    <row r="11" spans="9:10" ht="12.75">
      <c r="I11" t="s">
        <v>14</v>
      </c>
      <c r="J11" t="s">
        <v>173</v>
      </c>
    </row>
    <row r="12" spans="9:10" ht="12.75">
      <c r="I12" t="s">
        <v>15</v>
      </c>
      <c r="J12" t="s">
        <v>164</v>
      </c>
    </row>
    <row r="13" spans="11:19" ht="12.75">
      <c r="K13" t="s">
        <v>6</v>
      </c>
      <c r="N13" t="s">
        <v>42</v>
      </c>
      <c r="P13" t="s">
        <v>56</v>
      </c>
      <c r="R13">
        <v>0.56</v>
      </c>
      <c r="S13" t="s">
        <v>43</v>
      </c>
    </row>
    <row r="14" spans="9:16" ht="12.75">
      <c r="I14" t="s">
        <v>18</v>
      </c>
      <c r="J14">
        <v>0.8025</v>
      </c>
      <c r="K14">
        <v>0.8025</v>
      </c>
      <c r="L14">
        <v>0.7925</v>
      </c>
      <c r="M14">
        <v>0.7925</v>
      </c>
      <c r="N14" s="1">
        <f>SUM(J14:M14)</f>
        <v>3.19</v>
      </c>
      <c r="O14" t="s">
        <v>11</v>
      </c>
      <c r="P14" t="s">
        <v>6</v>
      </c>
    </row>
    <row r="15" spans="9:16" ht="12.75">
      <c r="I15" t="s">
        <v>16</v>
      </c>
      <c r="J15">
        <v>0.5</v>
      </c>
      <c r="K15">
        <v>0.5</v>
      </c>
      <c r="L15">
        <v>0.5</v>
      </c>
      <c r="M15">
        <v>0.5</v>
      </c>
      <c r="N15" s="1">
        <f>AVERAGE(J15:M15)</f>
        <v>0.5</v>
      </c>
      <c r="O15" t="s">
        <v>11</v>
      </c>
      <c r="P15" t="s">
        <v>6</v>
      </c>
    </row>
    <row r="16" spans="9:15" ht="12.75">
      <c r="I16" t="s">
        <v>17</v>
      </c>
      <c r="J16">
        <v>0.1875</v>
      </c>
      <c r="K16">
        <v>0.1875</v>
      </c>
      <c r="L16">
        <v>0.1875</v>
      </c>
      <c r="M16">
        <v>0.1875</v>
      </c>
      <c r="N16" s="1">
        <f>AVERAGE(J16:M16)</f>
        <v>0.1875</v>
      </c>
      <c r="O16" t="s">
        <v>51</v>
      </c>
    </row>
    <row r="17" spans="9:16" ht="12.75">
      <c r="I17" t="s">
        <v>50</v>
      </c>
      <c r="J17">
        <v>3.75</v>
      </c>
      <c r="K17">
        <v>3.75</v>
      </c>
      <c r="L17">
        <v>3.7</v>
      </c>
      <c r="M17">
        <v>3.7</v>
      </c>
      <c r="N17" s="1">
        <f>SUM(J17:M17)</f>
        <v>14.899999999999999</v>
      </c>
      <c r="O17" t="s">
        <v>23</v>
      </c>
      <c r="P17" t="s">
        <v>6</v>
      </c>
    </row>
    <row r="18" spans="9:15" ht="12.75">
      <c r="I18" t="s">
        <v>37</v>
      </c>
      <c r="J18">
        <f>(J15-J16)/2</f>
        <v>0.15625</v>
      </c>
      <c r="K18">
        <f>(K15-K16)/2</f>
        <v>0.15625</v>
      </c>
      <c r="L18">
        <f>(L15-L16)/2</f>
        <v>0.15625</v>
      </c>
      <c r="M18">
        <f>(M15-M16)/2</f>
        <v>0.15625</v>
      </c>
      <c r="N18" s="1">
        <f>AVERAGE(J18:J18)</f>
        <v>0.15625</v>
      </c>
      <c r="O18" t="s">
        <v>11</v>
      </c>
    </row>
    <row r="19" spans="9:15" ht="12.75">
      <c r="I19" t="s">
        <v>41</v>
      </c>
      <c r="J19">
        <v>3.75</v>
      </c>
      <c r="K19">
        <v>3.75</v>
      </c>
      <c r="L19">
        <v>3.7</v>
      </c>
      <c r="M19">
        <v>3.7</v>
      </c>
      <c r="N19" s="1">
        <f>SUM(J19:M19)</f>
        <v>14.899999999999999</v>
      </c>
      <c r="O19" t="s">
        <v>23</v>
      </c>
    </row>
    <row r="21" ht="12.75">
      <c r="I21" t="s">
        <v>9</v>
      </c>
    </row>
    <row r="22" spans="9:11" ht="12.75">
      <c r="I22" t="s">
        <v>19</v>
      </c>
      <c r="J22" s="1">
        <v>0.25</v>
      </c>
      <c r="K22" t="s">
        <v>11</v>
      </c>
    </row>
    <row r="23" spans="9:11" ht="12.75">
      <c r="I23" t="s">
        <v>20</v>
      </c>
      <c r="J23">
        <v>0.225</v>
      </c>
      <c r="K23" t="s">
        <v>11</v>
      </c>
    </row>
    <row r="24" spans="9:12" ht="12.75">
      <c r="I24" t="s">
        <v>39</v>
      </c>
      <c r="J24" s="1">
        <f>J23-J22</f>
        <v>-0.024999999999999994</v>
      </c>
      <c r="K24" t="s">
        <v>11</v>
      </c>
      <c r="L24" t="s">
        <v>171</v>
      </c>
    </row>
    <row r="26" spans="10:11" ht="12.75">
      <c r="J26" t="s">
        <v>21</v>
      </c>
      <c r="K26" t="s">
        <v>76</v>
      </c>
    </row>
    <row r="27" spans="9:14" ht="12.75">
      <c r="I27" t="s">
        <v>8</v>
      </c>
      <c r="J27">
        <v>61</v>
      </c>
      <c r="K27">
        <v>100</v>
      </c>
      <c r="M27" t="s">
        <v>77</v>
      </c>
      <c r="N27" t="s">
        <v>44</v>
      </c>
    </row>
    <row r="28" spans="9:15" ht="12.75">
      <c r="I28" t="s">
        <v>22</v>
      </c>
      <c r="J28">
        <v>71</v>
      </c>
      <c r="K28">
        <v>150</v>
      </c>
      <c r="M28" t="s">
        <v>77</v>
      </c>
      <c r="N28" t="s">
        <v>33</v>
      </c>
      <c r="O28">
        <f>((J22/2)^2)*PI()</f>
        <v>0.04908738521234052</v>
      </c>
    </row>
    <row r="29" spans="9:15" ht="12.75">
      <c r="I29" t="s">
        <v>10</v>
      </c>
      <c r="J29">
        <v>58</v>
      </c>
      <c r="K29">
        <v>100</v>
      </c>
      <c r="M29" t="s">
        <v>77</v>
      </c>
      <c r="N29" t="s">
        <v>35</v>
      </c>
      <c r="O29">
        <f>B32/O28</f>
        <v>198.809517308463</v>
      </c>
    </row>
    <row r="30" spans="9:14" ht="12.75">
      <c r="I30" t="s">
        <v>36</v>
      </c>
      <c r="J30">
        <f>(N18/B34)</f>
        <v>0.30241935483870963</v>
      </c>
      <c r="K30" t="s">
        <v>38</v>
      </c>
      <c r="N30" t="s">
        <v>45</v>
      </c>
    </row>
    <row r="31" ht="12.75">
      <c r="L31" t="s">
        <v>78</v>
      </c>
    </row>
    <row r="32" spans="1:3" ht="12.75">
      <c r="A32" t="s">
        <v>12</v>
      </c>
      <c r="B32" s="1">
        <f>MAX(Data!B10:B500)</f>
        <v>9.759039360000003</v>
      </c>
      <c r="C32" t="s">
        <v>30</v>
      </c>
    </row>
    <row r="33" spans="1:7" ht="12.75">
      <c r="A33" t="s">
        <v>2</v>
      </c>
      <c r="B33" s="1">
        <f>AVERAGE(Data!B27:B151)</f>
        <v>5.551465436160003</v>
      </c>
      <c r="C33" t="s">
        <v>27</v>
      </c>
      <c r="G33" t="s">
        <v>6</v>
      </c>
    </row>
    <row r="34" spans="1:3" ht="12.75">
      <c r="A34" t="s">
        <v>0</v>
      </c>
      <c r="B34" s="2">
        <f>(151-27)/240</f>
        <v>0.5166666666666667</v>
      </c>
      <c r="C34" t="s">
        <v>31</v>
      </c>
    </row>
    <row r="35" spans="1:6" ht="12.75">
      <c r="A35" t="s">
        <v>3</v>
      </c>
      <c r="B35" s="2">
        <f>((SUM(Data!B27:B151))/240)</f>
        <v>2.891388248000001</v>
      </c>
      <c r="C35" t="s">
        <v>4</v>
      </c>
      <c r="F35" t="s">
        <v>6</v>
      </c>
    </row>
    <row r="36" spans="1:9" ht="12.75">
      <c r="A36" t="s">
        <v>3</v>
      </c>
      <c r="B36" s="2">
        <f>B35*4.448</f>
        <v>12.860894927104006</v>
      </c>
      <c r="C36" t="s">
        <v>5</v>
      </c>
      <c r="I36" s="3"/>
    </row>
    <row r="37" spans="1:3" ht="12.75">
      <c r="A37" t="s">
        <v>69</v>
      </c>
      <c r="B37" s="1">
        <f>(N19)/1000</f>
        <v>0.014899999999999998</v>
      </c>
      <c r="C37" t="s">
        <v>49</v>
      </c>
    </row>
    <row r="38" spans="1:3" ht="12.75">
      <c r="A38" t="s">
        <v>69</v>
      </c>
      <c r="B38" s="3">
        <f>B37/453.54*1000</f>
        <v>0.03285267010627508</v>
      </c>
      <c r="C38" t="s">
        <v>7</v>
      </c>
    </row>
    <row r="39" spans="1:3" ht="12.75">
      <c r="A39" t="s">
        <v>102</v>
      </c>
      <c r="B39" s="2">
        <f>(B36/B37)/9.8</f>
        <v>88.07625617794827</v>
      </c>
      <c r="C39" t="s">
        <v>1</v>
      </c>
    </row>
    <row r="40" spans="8:11" ht="12.75">
      <c r="H40" t="s">
        <v>46</v>
      </c>
      <c r="I40" t="s">
        <v>24</v>
      </c>
      <c r="J40" t="s">
        <v>25</v>
      </c>
      <c r="K40" t="s">
        <v>26</v>
      </c>
    </row>
    <row r="41" spans="1:9" ht="12.75">
      <c r="A41" s="4"/>
      <c r="I41" s="3"/>
    </row>
    <row r="42" spans="8:11" ht="12.75">
      <c r="H42">
        <v>0</v>
      </c>
      <c r="I42" s="3">
        <v>2.793</v>
      </c>
      <c r="J42">
        <v>0</v>
      </c>
      <c r="K42">
        <v>0</v>
      </c>
    </row>
    <row r="43" spans="8:11" ht="12.75">
      <c r="H43">
        <v>5</v>
      </c>
      <c r="I43" s="3">
        <f>2.988-I42</f>
        <v>0.19499999999999984</v>
      </c>
      <c r="J43">
        <f aca="true" t="shared" si="0" ref="J43:J49">(I43)/H43</f>
        <v>0.038999999999999965</v>
      </c>
      <c r="K43">
        <f aca="true" t="shared" si="1" ref="K43:K49">1/J43</f>
        <v>25.641025641025664</v>
      </c>
    </row>
    <row r="44" spans="1:11" ht="12.75">
      <c r="A44" t="s">
        <v>29</v>
      </c>
      <c r="H44">
        <v>10</v>
      </c>
      <c r="I44" s="3">
        <f>3.164-I42</f>
        <v>0.371</v>
      </c>
      <c r="J44">
        <f t="shared" si="0"/>
        <v>0.0371</v>
      </c>
      <c r="K44">
        <f t="shared" si="1"/>
        <v>26.954177897574123</v>
      </c>
    </row>
    <row r="45" spans="1:11" ht="12.75">
      <c r="A45" t="s">
        <v>32</v>
      </c>
      <c r="H45">
        <v>15</v>
      </c>
      <c r="I45" s="3">
        <f>3.379-I42</f>
        <v>0.5859999999999999</v>
      </c>
      <c r="J45">
        <f t="shared" si="0"/>
        <v>0.03906666666666666</v>
      </c>
      <c r="K45">
        <f t="shared" si="1"/>
        <v>25.597269624573382</v>
      </c>
    </row>
    <row r="46" spans="8:11" ht="12.75">
      <c r="H46">
        <v>20</v>
      </c>
      <c r="I46" s="3">
        <f>3.613-I42</f>
        <v>0.8199999999999998</v>
      </c>
      <c r="J46">
        <f t="shared" si="0"/>
        <v>0.040999999999999995</v>
      </c>
      <c r="K46">
        <f t="shared" si="1"/>
        <v>24.39024390243903</v>
      </c>
    </row>
    <row r="47" spans="1:11" ht="12.75">
      <c r="A47" t="s">
        <v>6</v>
      </c>
      <c r="G47" t="s">
        <v>6</v>
      </c>
      <c r="H47">
        <v>25</v>
      </c>
      <c r="I47" s="3">
        <f>3.809-I42</f>
        <v>1.016</v>
      </c>
      <c r="J47">
        <f t="shared" si="0"/>
        <v>0.04064</v>
      </c>
      <c r="K47">
        <f t="shared" si="1"/>
        <v>24.606299212598422</v>
      </c>
    </row>
    <row r="48" spans="8:11" ht="12.75">
      <c r="H48">
        <v>30</v>
      </c>
      <c r="I48" s="3">
        <f>3.984-I42</f>
        <v>1.1909999999999998</v>
      </c>
      <c r="J48">
        <f t="shared" si="0"/>
        <v>0.03969999999999999</v>
      </c>
      <c r="K48">
        <f t="shared" si="1"/>
        <v>25.18891687657431</v>
      </c>
    </row>
    <row r="49" spans="8:11" ht="12.75">
      <c r="H49">
        <v>35</v>
      </c>
      <c r="I49" s="3">
        <f>4.18-I42</f>
        <v>1.3869999999999996</v>
      </c>
      <c r="J49">
        <f t="shared" si="0"/>
        <v>0.039628571428571416</v>
      </c>
      <c r="K49">
        <f t="shared" si="1"/>
        <v>25.234318673395826</v>
      </c>
    </row>
    <row r="50" spans="1:9" ht="12.75">
      <c r="A50" t="s">
        <v>79</v>
      </c>
      <c r="I50" s="3"/>
    </row>
    <row r="51" spans="1:9" ht="12.75">
      <c r="A51" t="s">
        <v>101</v>
      </c>
      <c r="B51">
        <v>3.603</v>
      </c>
      <c r="C51" t="s">
        <v>54</v>
      </c>
      <c r="D51">
        <f>B52-B51</f>
        <v>0.06699999999999973</v>
      </c>
      <c r="E51" t="s">
        <v>55</v>
      </c>
      <c r="I51" s="3"/>
    </row>
    <row r="52" spans="1:12" ht="12.75">
      <c r="A52" t="s">
        <v>52</v>
      </c>
      <c r="B52">
        <v>3.67</v>
      </c>
      <c r="I52" s="7" t="s">
        <v>67</v>
      </c>
      <c r="J52">
        <f>AVERAGE(J44:J50)</f>
        <v>0.03952253968253968</v>
      </c>
      <c r="K52">
        <f>AVERAGE(K43:K44)</f>
        <v>26.297601769299895</v>
      </c>
      <c r="L52" t="s">
        <v>159</v>
      </c>
    </row>
    <row r="53" spans="1:11" ht="12.75">
      <c r="A53" t="s">
        <v>75</v>
      </c>
      <c r="B53">
        <v>3.737</v>
      </c>
      <c r="K53" t="s">
        <v>70</v>
      </c>
    </row>
    <row r="54" spans="1:11" ht="12.75">
      <c r="A54" t="s">
        <v>53</v>
      </c>
      <c r="B54">
        <v>4.237</v>
      </c>
      <c r="C54" t="s">
        <v>0</v>
      </c>
      <c r="D54">
        <f>B54-B52</f>
        <v>0.5670000000000002</v>
      </c>
      <c r="E54" t="s">
        <v>55</v>
      </c>
      <c r="K54" t="s">
        <v>71</v>
      </c>
    </row>
    <row r="55" spans="1:11" ht="12.75">
      <c r="A55" t="s">
        <v>167</v>
      </c>
      <c r="B55">
        <v>5.972</v>
      </c>
      <c r="C55" t="s">
        <v>168</v>
      </c>
      <c r="D55">
        <f>B55-B52</f>
        <v>2.3020000000000005</v>
      </c>
      <c r="E55" t="s">
        <v>55</v>
      </c>
      <c r="K55" t="s">
        <v>156</v>
      </c>
    </row>
    <row r="58" ht="12.75">
      <c r="D58" s="2"/>
    </row>
    <row r="59" ht="12.75">
      <c r="A59" t="s">
        <v>72</v>
      </c>
    </row>
    <row r="60" ht="12.75">
      <c r="A60" s="8">
        <v>39061</v>
      </c>
    </row>
    <row r="61" ht="12.75">
      <c r="A61" s="9" t="s">
        <v>73</v>
      </c>
    </row>
    <row r="62" spans="1:6" ht="12.75">
      <c r="A62" s="9" t="s">
        <v>74</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165</v>
      </c>
    </row>
    <row r="9" spans="1:5" ht="12.75">
      <c r="A9" t="s">
        <v>24</v>
      </c>
      <c r="B9" t="s">
        <v>28</v>
      </c>
      <c r="D9" t="s">
        <v>34</v>
      </c>
      <c r="E9" t="s">
        <v>40</v>
      </c>
    </row>
    <row r="10" spans="1:5" ht="12.75">
      <c r="A10" s="1">
        <v>2.8125</v>
      </c>
      <c r="B10" s="1">
        <f>(A10*26.2976)-73.962</f>
        <v>0</v>
      </c>
      <c r="C10" t="s">
        <v>6</v>
      </c>
      <c r="D10" s="20">
        <f>MAX(B10:B384)</f>
        <v>9.759039360000003</v>
      </c>
      <c r="E10">
        <f>D10/10</f>
        <v>0.9759039360000002</v>
      </c>
    </row>
    <row r="11" spans="1:3" ht="12.75">
      <c r="A11" s="1">
        <v>2.8125</v>
      </c>
      <c r="B11" s="1">
        <f aca="true" t="shared" si="0" ref="B11:B74">(A11*26.2976)-73.962</f>
        <v>0</v>
      </c>
      <c r="C11" t="s">
        <v>6</v>
      </c>
    </row>
    <row r="12" spans="1:2" ht="12.75">
      <c r="A12" s="1">
        <v>2.8125</v>
      </c>
      <c r="B12" s="1">
        <f t="shared" si="0"/>
        <v>0</v>
      </c>
    </row>
    <row r="13" spans="1:4" ht="12.75">
      <c r="A13" s="1">
        <v>2.8125</v>
      </c>
      <c r="B13" s="1">
        <f t="shared" si="0"/>
        <v>0</v>
      </c>
      <c r="D13" t="s">
        <v>6</v>
      </c>
    </row>
    <row r="14" spans="1:4" ht="12.75">
      <c r="A14" s="1">
        <v>2.8125</v>
      </c>
      <c r="B14" s="1">
        <f t="shared" si="0"/>
        <v>0</v>
      </c>
      <c r="D14" t="s">
        <v>6</v>
      </c>
    </row>
    <row r="15" spans="1:4" ht="12.75">
      <c r="A15" s="1">
        <v>2.8125</v>
      </c>
      <c r="B15" s="1">
        <f t="shared" si="0"/>
        <v>0</v>
      </c>
      <c r="D15" t="s">
        <v>6</v>
      </c>
    </row>
    <row r="16" spans="1:2" ht="12.75">
      <c r="A16" s="1">
        <v>2.8125</v>
      </c>
      <c r="B16" s="1">
        <f t="shared" si="0"/>
        <v>0</v>
      </c>
    </row>
    <row r="17" spans="1:2" ht="12.75">
      <c r="A17" s="1">
        <v>2.8125</v>
      </c>
      <c r="B17" s="1">
        <f t="shared" si="0"/>
        <v>0</v>
      </c>
    </row>
    <row r="18" spans="1:2" ht="12.75">
      <c r="A18" s="1">
        <v>2.8125</v>
      </c>
      <c r="B18" s="1">
        <f t="shared" si="0"/>
        <v>0</v>
      </c>
    </row>
    <row r="19" spans="1:2" ht="12.75">
      <c r="A19" s="1">
        <v>2.8125</v>
      </c>
      <c r="B19" s="1">
        <f t="shared" si="0"/>
        <v>0</v>
      </c>
    </row>
    <row r="20" spans="1:2" ht="12.75">
      <c r="A20" s="1">
        <v>2.8125</v>
      </c>
      <c r="B20" s="1">
        <f t="shared" si="0"/>
        <v>0</v>
      </c>
    </row>
    <row r="21" spans="1:2" ht="12.75">
      <c r="A21" s="1">
        <v>2.8125</v>
      </c>
      <c r="B21" s="1">
        <f t="shared" si="0"/>
        <v>0</v>
      </c>
    </row>
    <row r="22" spans="1:2" ht="12.75">
      <c r="A22" s="1">
        <v>2.8125</v>
      </c>
      <c r="B22" s="1">
        <f t="shared" si="0"/>
        <v>0</v>
      </c>
    </row>
    <row r="23" spans="1:3" ht="12.75">
      <c r="A23" s="1">
        <v>2.832</v>
      </c>
      <c r="B23" s="1">
        <f t="shared" si="0"/>
        <v>0.5128031999999934</v>
      </c>
      <c r="C23" t="s">
        <v>6</v>
      </c>
    </row>
    <row r="24" spans="1:2" ht="12.75">
      <c r="A24" s="1">
        <v>2.832</v>
      </c>
      <c r="B24" s="1">
        <f t="shared" si="0"/>
        <v>0.5128031999999934</v>
      </c>
    </row>
    <row r="25" spans="1:2" ht="12.75">
      <c r="A25" s="1">
        <v>2.832</v>
      </c>
      <c r="B25" s="1">
        <f t="shared" si="0"/>
        <v>0.5128031999999934</v>
      </c>
    </row>
    <row r="26" spans="1:2" ht="12.75">
      <c r="A26" s="1">
        <v>2.832</v>
      </c>
      <c r="B26" s="1">
        <f t="shared" si="0"/>
        <v>0.5128031999999934</v>
      </c>
    </row>
    <row r="27" spans="1:3" ht="12.75">
      <c r="A27" s="1">
        <v>2.8906</v>
      </c>
      <c r="B27" s="1">
        <f t="shared" si="0"/>
        <v>2.0538425599999925</v>
      </c>
      <c r="C27" t="s">
        <v>48</v>
      </c>
    </row>
    <row r="28" spans="1:2" ht="12.75">
      <c r="A28" s="1">
        <v>2.9688</v>
      </c>
      <c r="B28" s="1">
        <f t="shared" si="0"/>
        <v>4.11031487999999</v>
      </c>
    </row>
    <row r="29" spans="1:2" ht="12.75">
      <c r="A29" s="1">
        <v>2.9883</v>
      </c>
      <c r="B29" s="1">
        <f t="shared" si="0"/>
        <v>4.623118079999998</v>
      </c>
    </row>
    <row r="30" spans="1:2" ht="12.75">
      <c r="A30" s="1">
        <v>2.9492</v>
      </c>
      <c r="B30" s="1">
        <f t="shared" si="0"/>
        <v>3.5948819199999917</v>
      </c>
    </row>
    <row r="31" spans="1:2" ht="12.75">
      <c r="A31" s="1">
        <v>2.9492</v>
      </c>
      <c r="B31" s="1">
        <f t="shared" si="0"/>
        <v>3.5948819199999917</v>
      </c>
    </row>
    <row r="32" spans="1:2" ht="12.75">
      <c r="A32" s="1">
        <v>2.9883</v>
      </c>
      <c r="B32" s="1">
        <f t="shared" si="0"/>
        <v>4.623118079999998</v>
      </c>
    </row>
    <row r="33" spans="1:2" ht="12.75">
      <c r="A33" s="1">
        <v>3.0078</v>
      </c>
      <c r="B33" s="1">
        <f t="shared" si="0"/>
        <v>5.135921279999991</v>
      </c>
    </row>
    <row r="34" spans="1:2" ht="12.75">
      <c r="A34" s="1">
        <v>2.9883</v>
      </c>
      <c r="B34" s="1">
        <f t="shared" si="0"/>
        <v>4.623118079999998</v>
      </c>
    </row>
    <row r="35" spans="1:2" ht="12.75">
      <c r="A35" s="1">
        <v>2.9883</v>
      </c>
      <c r="B35" s="1">
        <f t="shared" si="0"/>
        <v>4.623118079999998</v>
      </c>
    </row>
    <row r="36" spans="1:3" ht="12.75">
      <c r="A36" s="1">
        <v>3.0078</v>
      </c>
      <c r="B36" s="1">
        <f t="shared" si="0"/>
        <v>5.135921279999991</v>
      </c>
      <c r="C36" s="1"/>
    </row>
    <row r="37" spans="1:2" ht="12.75">
      <c r="A37" s="1">
        <v>3.0273</v>
      </c>
      <c r="B37" s="1">
        <f t="shared" si="0"/>
        <v>5.648724479999984</v>
      </c>
    </row>
    <row r="38" spans="1:2" ht="12.75">
      <c r="A38" s="1">
        <v>3.0273</v>
      </c>
      <c r="B38" s="1">
        <f t="shared" si="0"/>
        <v>5.648724479999984</v>
      </c>
    </row>
    <row r="39" spans="1:2" ht="12.75">
      <c r="A39" s="1">
        <v>3.0078</v>
      </c>
      <c r="B39" s="1">
        <f t="shared" si="0"/>
        <v>5.135921279999991</v>
      </c>
    </row>
    <row r="40" spans="1:2" ht="12.75">
      <c r="A40" s="1">
        <v>3.0078</v>
      </c>
      <c r="B40" s="1">
        <f t="shared" si="0"/>
        <v>5.135921279999991</v>
      </c>
    </row>
    <row r="41" spans="1:2" ht="12.75">
      <c r="A41" s="1">
        <v>3.0273</v>
      </c>
      <c r="B41" s="1">
        <f t="shared" si="0"/>
        <v>5.648724479999984</v>
      </c>
    </row>
    <row r="42" spans="1:2" ht="12.75">
      <c r="A42" s="1">
        <v>3.0273</v>
      </c>
      <c r="B42" s="1">
        <f t="shared" si="0"/>
        <v>5.648724479999984</v>
      </c>
    </row>
    <row r="43" spans="1:2" ht="12.75">
      <c r="A43" s="1">
        <v>3.0273</v>
      </c>
      <c r="B43" s="1">
        <f t="shared" si="0"/>
        <v>5.648724479999984</v>
      </c>
    </row>
    <row r="44" spans="1:2" ht="12.75">
      <c r="A44" s="1">
        <v>3.0273</v>
      </c>
      <c r="B44" s="1">
        <f t="shared" si="0"/>
        <v>5.648724479999984</v>
      </c>
    </row>
    <row r="45" spans="1:2" ht="12.75">
      <c r="A45" s="1">
        <v>3.0469</v>
      </c>
      <c r="B45" s="1">
        <f t="shared" si="0"/>
        <v>6.164157439999997</v>
      </c>
    </row>
    <row r="46" spans="1:2" ht="12.75">
      <c r="A46" s="1">
        <v>3.0469</v>
      </c>
      <c r="B46" s="1">
        <f t="shared" si="0"/>
        <v>6.164157439999997</v>
      </c>
    </row>
    <row r="47" spans="1:2" ht="12.75">
      <c r="A47" s="1">
        <v>3.0469</v>
      </c>
      <c r="B47" s="1">
        <f t="shared" si="0"/>
        <v>6.164157439999997</v>
      </c>
    </row>
    <row r="48" spans="1:2" ht="12.75">
      <c r="A48" s="1">
        <v>3.0469</v>
      </c>
      <c r="B48" s="1">
        <f t="shared" si="0"/>
        <v>6.164157439999997</v>
      </c>
    </row>
    <row r="49" spans="1:2" ht="12.75">
      <c r="A49" s="1">
        <v>3.0469</v>
      </c>
      <c r="B49" s="1">
        <f t="shared" si="0"/>
        <v>6.164157439999997</v>
      </c>
    </row>
    <row r="50" spans="1:2" ht="12.75">
      <c r="A50" s="1">
        <v>3.0664</v>
      </c>
      <c r="B50" s="1">
        <f t="shared" si="0"/>
        <v>6.67696063999999</v>
      </c>
    </row>
    <row r="51" spans="1:2" ht="12.75">
      <c r="A51" s="1">
        <v>3.0664</v>
      </c>
      <c r="B51" s="1">
        <f t="shared" si="0"/>
        <v>6.67696063999999</v>
      </c>
    </row>
    <row r="52" spans="1:2" ht="12.75">
      <c r="A52" s="1">
        <v>3.0664</v>
      </c>
      <c r="B52" s="1">
        <f t="shared" si="0"/>
        <v>6.67696063999999</v>
      </c>
    </row>
    <row r="53" spans="1:2" ht="12.75">
      <c r="A53" s="1">
        <v>3.0859</v>
      </c>
      <c r="B53" s="1">
        <f t="shared" si="0"/>
        <v>7.189763839999998</v>
      </c>
    </row>
    <row r="54" spans="1:2" ht="12.75">
      <c r="A54" s="1">
        <v>3.0859</v>
      </c>
      <c r="B54" s="1">
        <f t="shared" si="0"/>
        <v>7.189763839999998</v>
      </c>
    </row>
    <row r="55" spans="1:2" ht="12.75">
      <c r="A55" s="1">
        <v>3.0859</v>
      </c>
      <c r="B55" s="1">
        <f t="shared" si="0"/>
        <v>7.189763839999998</v>
      </c>
    </row>
    <row r="56" spans="1:2" ht="12.75">
      <c r="A56" s="1">
        <v>3.0859</v>
      </c>
      <c r="B56" s="1">
        <f t="shared" si="0"/>
        <v>7.189763839999998</v>
      </c>
    </row>
    <row r="57" spans="1:2" ht="12.75">
      <c r="A57" s="1">
        <v>3.1055</v>
      </c>
      <c r="B57" s="1">
        <f t="shared" si="0"/>
        <v>7.705196799999996</v>
      </c>
    </row>
    <row r="58" spans="1:2" ht="12.75">
      <c r="A58" s="1">
        <v>3.1055</v>
      </c>
      <c r="B58" s="1">
        <f t="shared" si="0"/>
        <v>7.705196799999996</v>
      </c>
    </row>
    <row r="59" spans="1:2" ht="12.75">
      <c r="A59" s="1">
        <v>3.1055</v>
      </c>
      <c r="B59" s="1">
        <f t="shared" si="0"/>
        <v>7.705196799999996</v>
      </c>
    </row>
    <row r="60" spans="1:2" ht="12.75">
      <c r="A60" s="1">
        <v>3.125</v>
      </c>
      <c r="B60" s="1">
        <f t="shared" si="0"/>
        <v>8.21799999999999</v>
      </c>
    </row>
    <row r="61" spans="1:2" ht="12.75">
      <c r="A61" s="1">
        <v>3.125</v>
      </c>
      <c r="B61" s="1">
        <f t="shared" si="0"/>
        <v>8.21799999999999</v>
      </c>
    </row>
    <row r="62" spans="1:2" ht="12.75">
      <c r="A62" s="1">
        <v>3.125</v>
      </c>
      <c r="B62" s="1">
        <f t="shared" si="0"/>
        <v>8.21799999999999</v>
      </c>
    </row>
    <row r="63" spans="1:2" ht="12.75">
      <c r="A63" s="1">
        <v>3.1445</v>
      </c>
      <c r="B63" s="1">
        <f t="shared" si="0"/>
        <v>8.730803199999997</v>
      </c>
    </row>
    <row r="64" spans="1:2" ht="12.75">
      <c r="A64" s="1">
        <v>3.1445</v>
      </c>
      <c r="B64" s="1">
        <f t="shared" si="0"/>
        <v>8.730803199999997</v>
      </c>
    </row>
    <row r="65" spans="1:2" ht="12.75">
      <c r="A65" s="1">
        <v>3.1445</v>
      </c>
      <c r="B65" s="1">
        <f t="shared" si="0"/>
        <v>8.730803199999997</v>
      </c>
    </row>
    <row r="66" spans="1:2" ht="12.75">
      <c r="A66" s="1">
        <v>3.1445</v>
      </c>
      <c r="B66" s="1">
        <f t="shared" si="0"/>
        <v>8.730803199999997</v>
      </c>
    </row>
    <row r="67" spans="1:2" ht="12.75">
      <c r="A67" s="1">
        <v>3.1445</v>
      </c>
      <c r="B67" s="1">
        <f t="shared" si="0"/>
        <v>8.730803199999997</v>
      </c>
    </row>
    <row r="68" spans="1:2" ht="12.75">
      <c r="A68" s="1">
        <v>3.1445</v>
      </c>
      <c r="B68" s="1">
        <f t="shared" si="0"/>
        <v>8.730803199999997</v>
      </c>
    </row>
    <row r="69" spans="1:2" ht="12.75">
      <c r="A69" s="1">
        <v>3.1445</v>
      </c>
      <c r="B69" s="1">
        <f t="shared" si="0"/>
        <v>8.730803199999997</v>
      </c>
    </row>
    <row r="70" spans="1:2" ht="12.75">
      <c r="A70" s="1">
        <v>3.1445</v>
      </c>
      <c r="B70" s="1">
        <f t="shared" si="0"/>
        <v>8.730803199999997</v>
      </c>
    </row>
    <row r="71" spans="1:2" ht="12.75">
      <c r="A71" s="1">
        <v>3.1445</v>
      </c>
      <c r="B71" s="1">
        <f t="shared" si="0"/>
        <v>8.730803199999997</v>
      </c>
    </row>
    <row r="72" spans="1:2" ht="12.75">
      <c r="A72" s="1">
        <v>3.1445</v>
      </c>
      <c r="B72" s="1">
        <f t="shared" si="0"/>
        <v>8.730803199999997</v>
      </c>
    </row>
    <row r="73" spans="1:2" ht="12.75">
      <c r="A73" s="1">
        <v>3.1445</v>
      </c>
      <c r="B73" s="1">
        <f t="shared" si="0"/>
        <v>8.730803199999997</v>
      </c>
    </row>
    <row r="74" spans="1:2" ht="12.75">
      <c r="A74" s="1">
        <v>3.1641</v>
      </c>
      <c r="B74" s="1">
        <f t="shared" si="0"/>
        <v>9.246236159999995</v>
      </c>
    </row>
    <row r="75" spans="1:2" ht="12.75">
      <c r="A75" s="1">
        <v>3.1641</v>
      </c>
      <c r="B75" s="1">
        <f aca="true" t="shared" si="1" ref="B75:B138">(A75*26.2976)-73.962</f>
        <v>9.246236159999995</v>
      </c>
    </row>
    <row r="76" spans="1:2" ht="12.75">
      <c r="A76" s="1">
        <v>3.1641</v>
      </c>
      <c r="B76" s="1">
        <f t="shared" si="1"/>
        <v>9.246236159999995</v>
      </c>
    </row>
    <row r="77" spans="1:2" ht="12.75">
      <c r="A77" s="1">
        <v>3.1641</v>
      </c>
      <c r="B77" s="1">
        <f t="shared" si="1"/>
        <v>9.246236159999995</v>
      </c>
    </row>
    <row r="78" spans="1:2" ht="12.75">
      <c r="A78" s="1">
        <v>2.9688</v>
      </c>
      <c r="B78" s="1">
        <f t="shared" si="1"/>
        <v>4.11031487999999</v>
      </c>
    </row>
    <row r="79" spans="1:2" ht="12.75">
      <c r="A79" s="1">
        <v>3.1445</v>
      </c>
      <c r="B79" s="1">
        <f t="shared" si="1"/>
        <v>8.730803199999997</v>
      </c>
    </row>
    <row r="80" spans="1:2" ht="12.75">
      <c r="A80" s="1">
        <v>3.1641</v>
      </c>
      <c r="B80" s="1">
        <f t="shared" si="1"/>
        <v>9.246236159999995</v>
      </c>
    </row>
    <row r="81" spans="1:2" ht="12.75">
      <c r="A81" s="1">
        <v>3.1641</v>
      </c>
      <c r="B81" s="1">
        <f t="shared" si="1"/>
        <v>9.246236159999995</v>
      </c>
    </row>
    <row r="82" spans="1:2" ht="12.75">
      <c r="A82" s="1">
        <v>3.1641</v>
      </c>
      <c r="B82" s="1">
        <f t="shared" si="1"/>
        <v>9.246236159999995</v>
      </c>
    </row>
    <row r="83" spans="1:2" ht="12.75">
      <c r="A83" s="1">
        <v>3.1641</v>
      </c>
      <c r="B83" s="1">
        <f t="shared" si="1"/>
        <v>9.246236159999995</v>
      </c>
    </row>
    <row r="84" spans="1:2" ht="12.75">
      <c r="A84" s="1">
        <v>3.1641</v>
      </c>
      <c r="B84" s="1">
        <f t="shared" si="1"/>
        <v>9.246236159999995</v>
      </c>
    </row>
    <row r="85" spans="1:2" ht="12.75">
      <c r="A85" s="1">
        <v>3.1641</v>
      </c>
      <c r="B85" s="1">
        <f t="shared" si="1"/>
        <v>9.246236159999995</v>
      </c>
    </row>
    <row r="86" spans="1:2" ht="12.75">
      <c r="A86" s="1">
        <v>3.1641</v>
      </c>
      <c r="B86" s="1">
        <f t="shared" si="1"/>
        <v>9.246236159999995</v>
      </c>
    </row>
    <row r="87" spans="1:2" ht="12.75">
      <c r="A87" s="1">
        <v>3.1836</v>
      </c>
      <c r="B87" s="1">
        <f t="shared" si="1"/>
        <v>9.759039360000003</v>
      </c>
    </row>
    <row r="88" spans="1:2" ht="12.75">
      <c r="A88" s="1">
        <v>3.1836</v>
      </c>
      <c r="B88" s="1">
        <f t="shared" si="1"/>
        <v>9.759039360000003</v>
      </c>
    </row>
    <row r="89" spans="1:2" ht="12.75">
      <c r="A89" s="1">
        <v>3.1641</v>
      </c>
      <c r="B89" s="1">
        <f t="shared" si="1"/>
        <v>9.246236159999995</v>
      </c>
    </row>
    <row r="90" spans="1:2" ht="12.75">
      <c r="A90" s="1">
        <v>3.1445</v>
      </c>
      <c r="B90" s="1">
        <f t="shared" si="1"/>
        <v>8.730803199999997</v>
      </c>
    </row>
    <row r="91" spans="1:2" ht="12.75">
      <c r="A91" s="1">
        <v>3.1641</v>
      </c>
      <c r="B91" s="1">
        <f t="shared" si="1"/>
        <v>9.246236159999995</v>
      </c>
    </row>
    <row r="92" spans="1:2" ht="12.75">
      <c r="A92" s="1">
        <v>3.125</v>
      </c>
      <c r="B92" s="1">
        <f t="shared" si="1"/>
        <v>8.21799999999999</v>
      </c>
    </row>
    <row r="93" spans="1:2" ht="12.75">
      <c r="A93" s="1">
        <v>3.0859</v>
      </c>
      <c r="B93" s="1">
        <f t="shared" si="1"/>
        <v>7.189763839999998</v>
      </c>
    </row>
    <row r="94" spans="1:2" ht="12.75">
      <c r="A94" s="1">
        <v>3.1055</v>
      </c>
      <c r="B94" s="1">
        <f t="shared" si="1"/>
        <v>7.705196799999996</v>
      </c>
    </row>
    <row r="95" spans="1:2" ht="12.75">
      <c r="A95" s="1">
        <v>3.125</v>
      </c>
      <c r="B95" s="1">
        <f t="shared" si="1"/>
        <v>8.21799999999999</v>
      </c>
    </row>
    <row r="96" spans="1:2" ht="12.75">
      <c r="A96" s="1">
        <v>3.1055</v>
      </c>
      <c r="B96" s="1">
        <f t="shared" si="1"/>
        <v>7.705196799999996</v>
      </c>
    </row>
    <row r="97" spans="1:2" ht="12.75">
      <c r="A97" s="1">
        <v>3.0469</v>
      </c>
      <c r="B97" s="1">
        <f t="shared" si="1"/>
        <v>6.164157439999997</v>
      </c>
    </row>
    <row r="98" spans="1:2" ht="12.75">
      <c r="A98" s="1">
        <v>3.0469</v>
      </c>
      <c r="B98" s="1">
        <f t="shared" si="1"/>
        <v>6.164157439999997</v>
      </c>
    </row>
    <row r="99" spans="1:2" ht="12.75">
      <c r="A99" s="1">
        <v>3.0469</v>
      </c>
      <c r="B99" s="1">
        <f t="shared" si="1"/>
        <v>6.164157439999997</v>
      </c>
    </row>
    <row r="100" spans="1:2" ht="12.75">
      <c r="A100" s="1">
        <v>3.0469</v>
      </c>
      <c r="B100" s="1">
        <f t="shared" si="1"/>
        <v>6.164157439999997</v>
      </c>
    </row>
    <row r="101" spans="1:2" ht="12.75">
      <c r="A101" s="1">
        <v>3.0273</v>
      </c>
      <c r="B101" s="1">
        <f t="shared" si="1"/>
        <v>5.648724479999984</v>
      </c>
    </row>
    <row r="102" spans="1:2" ht="12.75">
      <c r="A102" s="1">
        <v>3.0078</v>
      </c>
      <c r="B102" s="1">
        <f t="shared" si="1"/>
        <v>5.135921279999991</v>
      </c>
    </row>
    <row r="103" spans="1:2" ht="12.75">
      <c r="A103" s="1">
        <v>3.0078</v>
      </c>
      <c r="B103" s="1">
        <f t="shared" si="1"/>
        <v>5.135921279999991</v>
      </c>
    </row>
    <row r="104" spans="1:2" ht="12.75">
      <c r="A104" s="1">
        <v>3.0078</v>
      </c>
      <c r="B104" s="1">
        <f t="shared" si="1"/>
        <v>5.135921279999991</v>
      </c>
    </row>
    <row r="105" spans="1:2" ht="12.75">
      <c r="A105" s="1">
        <v>3.0078</v>
      </c>
      <c r="B105" s="1">
        <f t="shared" si="1"/>
        <v>5.135921279999991</v>
      </c>
    </row>
    <row r="106" spans="1:2" ht="12.75">
      <c r="A106" s="1">
        <v>2.9883</v>
      </c>
      <c r="B106" s="1">
        <f t="shared" si="1"/>
        <v>4.623118079999998</v>
      </c>
    </row>
    <row r="107" spans="1:2" ht="12.75">
      <c r="A107" s="1">
        <v>2.9688</v>
      </c>
      <c r="B107" s="1">
        <f t="shared" si="1"/>
        <v>4.11031487999999</v>
      </c>
    </row>
    <row r="108" spans="1:2" ht="12.75">
      <c r="A108" s="1">
        <v>2.9883</v>
      </c>
      <c r="B108" s="1">
        <f t="shared" si="1"/>
        <v>4.623118079999998</v>
      </c>
    </row>
    <row r="109" spans="1:2" ht="12.75">
      <c r="A109" s="1">
        <v>2.9688</v>
      </c>
      <c r="B109" s="1">
        <f t="shared" si="1"/>
        <v>4.11031487999999</v>
      </c>
    </row>
    <row r="110" spans="1:2" ht="12.75">
      <c r="A110" s="1">
        <v>2.9883</v>
      </c>
      <c r="B110" s="1">
        <f t="shared" si="1"/>
        <v>4.623118079999998</v>
      </c>
    </row>
    <row r="111" spans="1:2" ht="12.75">
      <c r="A111" s="1">
        <v>2.9688</v>
      </c>
      <c r="B111" s="1">
        <f t="shared" si="1"/>
        <v>4.11031487999999</v>
      </c>
    </row>
    <row r="112" spans="1:2" ht="12.75">
      <c r="A112" s="1">
        <v>2.9688</v>
      </c>
      <c r="B112" s="1">
        <f t="shared" si="1"/>
        <v>4.11031487999999</v>
      </c>
    </row>
    <row r="113" spans="1:2" ht="12.75">
      <c r="A113" s="1">
        <v>2.9688</v>
      </c>
      <c r="B113" s="1">
        <f t="shared" si="1"/>
        <v>4.11031487999999</v>
      </c>
    </row>
    <row r="114" spans="1:2" ht="12.75">
      <c r="A114" s="1">
        <v>2.9688</v>
      </c>
      <c r="B114" s="1">
        <f t="shared" si="1"/>
        <v>4.11031487999999</v>
      </c>
    </row>
    <row r="115" spans="1:2" ht="12.75">
      <c r="A115" s="1">
        <v>2.9688</v>
      </c>
      <c r="B115" s="1">
        <f t="shared" si="1"/>
        <v>4.11031487999999</v>
      </c>
    </row>
    <row r="116" spans="1:2" ht="12.75">
      <c r="A116" s="1">
        <v>2.9688</v>
      </c>
      <c r="B116" s="1">
        <f t="shared" si="1"/>
        <v>4.11031487999999</v>
      </c>
    </row>
    <row r="117" spans="1:2" ht="12.75">
      <c r="A117" s="1">
        <v>2.9688</v>
      </c>
      <c r="B117" s="1">
        <f t="shared" si="1"/>
        <v>4.11031487999999</v>
      </c>
    </row>
    <row r="118" spans="1:2" ht="12.75">
      <c r="A118" s="1">
        <v>2.9688</v>
      </c>
      <c r="B118" s="1">
        <f t="shared" si="1"/>
        <v>4.11031487999999</v>
      </c>
    </row>
    <row r="119" spans="1:2" ht="12.75">
      <c r="A119" s="1">
        <v>2.9297</v>
      </c>
      <c r="B119" s="1">
        <f t="shared" si="1"/>
        <v>3.0820787199999984</v>
      </c>
    </row>
    <row r="120" spans="1:2" ht="12.75">
      <c r="A120" s="1">
        <v>2.9297</v>
      </c>
      <c r="B120" s="1">
        <f t="shared" si="1"/>
        <v>3.0820787199999984</v>
      </c>
    </row>
    <row r="121" spans="1:2" ht="12.75">
      <c r="A121" s="1">
        <v>2.9492</v>
      </c>
      <c r="B121" s="1">
        <f t="shared" si="1"/>
        <v>3.5948819199999917</v>
      </c>
    </row>
    <row r="122" spans="1:2" ht="12.75">
      <c r="A122" s="1">
        <v>2.9297</v>
      </c>
      <c r="B122" s="1">
        <f t="shared" si="1"/>
        <v>3.0820787199999984</v>
      </c>
    </row>
    <row r="123" spans="1:2" ht="12.75">
      <c r="A123" s="1">
        <v>2.9297</v>
      </c>
      <c r="B123" s="1">
        <f t="shared" si="1"/>
        <v>3.0820787199999984</v>
      </c>
    </row>
    <row r="124" spans="1:2" ht="12.75">
      <c r="A124" s="1">
        <v>2.9297</v>
      </c>
      <c r="B124" s="1">
        <f t="shared" si="1"/>
        <v>3.0820787199999984</v>
      </c>
    </row>
    <row r="125" spans="1:2" ht="12.75">
      <c r="A125" s="1">
        <v>2.9297</v>
      </c>
      <c r="B125" s="1">
        <f t="shared" si="1"/>
        <v>3.0820787199999984</v>
      </c>
    </row>
    <row r="126" spans="1:2" ht="12.75">
      <c r="A126" s="1">
        <v>2.9297</v>
      </c>
      <c r="B126" s="1">
        <f t="shared" si="1"/>
        <v>3.0820787199999984</v>
      </c>
    </row>
    <row r="127" spans="1:2" ht="12.75">
      <c r="A127" s="1">
        <v>2.9297</v>
      </c>
      <c r="B127" s="1">
        <f t="shared" si="1"/>
        <v>3.0820787199999984</v>
      </c>
    </row>
    <row r="128" spans="1:2" ht="12.75">
      <c r="A128" s="1">
        <v>2.9297</v>
      </c>
      <c r="B128" s="1">
        <f t="shared" si="1"/>
        <v>3.0820787199999984</v>
      </c>
    </row>
    <row r="129" spans="1:2" ht="12.75">
      <c r="A129" s="1">
        <v>2.9297</v>
      </c>
      <c r="B129" s="1">
        <f t="shared" si="1"/>
        <v>3.0820787199999984</v>
      </c>
    </row>
    <row r="130" spans="1:2" ht="12.75">
      <c r="A130" s="1">
        <v>2.9297</v>
      </c>
      <c r="B130" s="1">
        <f t="shared" si="1"/>
        <v>3.0820787199999984</v>
      </c>
    </row>
    <row r="131" spans="1:2" ht="12.75">
      <c r="A131" s="1">
        <v>2.9297</v>
      </c>
      <c r="B131" s="1">
        <f t="shared" si="1"/>
        <v>3.0820787199999984</v>
      </c>
    </row>
    <row r="132" spans="1:2" ht="12.75">
      <c r="A132" s="1">
        <v>2.9102</v>
      </c>
      <c r="B132" s="1">
        <f t="shared" si="1"/>
        <v>2.569275519999991</v>
      </c>
    </row>
    <row r="133" spans="1:2" ht="12.75">
      <c r="A133" s="1">
        <v>2.9297</v>
      </c>
      <c r="B133" s="1">
        <f t="shared" si="1"/>
        <v>3.0820787199999984</v>
      </c>
    </row>
    <row r="134" spans="1:2" ht="12.75">
      <c r="A134" s="1">
        <v>2.9102</v>
      </c>
      <c r="B134" s="1">
        <f t="shared" si="1"/>
        <v>2.569275519999991</v>
      </c>
    </row>
    <row r="135" spans="1:2" ht="12.75">
      <c r="A135" s="1">
        <v>2.9102</v>
      </c>
      <c r="B135" s="1">
        <f t="shared" si="1"/>
        <v>2.569275519999991</v>
      </c>
    </row>
    <row r="136" spans="1:2" ht="12.75">
      <c r="A136" s="1">
        <v>2.9102</v>
      </c>
      <c r="B136" s="1">
        <f t="shared" si="1"/>
        <v>2.569275519999991</v>
      </c>
    </row>
    <row r="137" spans="1:2" ht="12.75">
      <c r="A137" s="1">
        <v>2.9102</v>
      </c>
      <c r="B137" s="1">
        <f t="shared" si="1"/>
        <v>2.569275519999991</v>
      </c>
    </row>
    <row r="138" spans="1:2" ht="12.75">
      <c r="A138" s="1">
        <v>2.9102</v>
      </c>
      <c r="B138" s="1">
        <f t="shared" si="1"/>
        <v>2.569275519999991</v>
      </c>
    </row>
    <row r="139" spans="1:2" ht="12.75">
      <c r="A139" s="1">
        <v>2.8906</v>
      </c>
      <c r="B139" s="1">
        <f aca="true" t="shared" si="2" ref="B139:B181">(A139*26.2976)-73.962</f>
        <v>2.0538425599999925</v>
      </c>
    </row>
    <row r="140" spans="1:2" ht="12.75">
      <c r="A140" s="1">
        <v>2.8906</v>
      </c>
      <c r="B140" s="1">
        <f t="shared" si="2"/>
        <v>2.0538425599999925</v>
      </c>
    </row>
    <row r="141" spans="1:2" ht="12.75">
      <c r="A141" s="1">
        <v>2.8906</v>
      </c>
      <c r="B141" s="1">
        <f t="shared" si="2"/>
        <v>2.0538425599999925</v>
      </c>
    </row>
    <row r="142" spans="1:2" ht="12.75">
      <c r="A142" s="1">
        <v>2.8906</v>
      </c>
      <c r="B142" s="1">
        <f t="shared" si="2"/>
        <v>2.0538425599999925</v>
      </c>
    </row>
    <row r="143" spans="1:2" ht="12.75">
      <c r="A143" s="1">
        <v>2.8711</v>
      </c>
      <c r="B143" s="1">
        <f t="shared" si="2"/>
        <v>1.5410393599999992</v>
      </c>
    </row>
    <row r="144" spans="1:2" ht="12.75">
      <c r="A144" s="1">
        <v>2.8711</v>
      </c>
      <c r="B144" s="1">
        <f t="shared" si="2"/>
        <v>1.5410393599999992</v>
      </c>
    </row>
    <row r="145" spans="1:2" ht="12.75">
      <c r="A145" s="1">
        <v>2.8711</v>
      </c>
      <c r="B145" s="1">
        <f t="shared" si="2"/>
        <v>1.5410393599999992</v>
      </c>
    </row>
    <row r="146" spans="1:2" ht="12.75">
      <c r="A146" s="1">
        <v>2.8711</v>
      </c>
      <c r="B146" s="1">
        <f t="shared" si="2"/>
        <v>1.5410393599999992</v>
      </c>
    </row>
    <row r="147" spans="1:2" ht="12.75">
      <c r="A147" s="1">
        <v>2.8516</v>
      </c>
      <c r="B147" s="1">
        <f t="shared" si="2"/>
        <v>1.0282361599999916</v>
      </c>
    </row>
    <row r="148" spans="1:2" ht="12.75">
      <c r="A148" s="1">
        <v>2.8516</v>
      </c>
      <c r="B148" s="1">
        <f t="shared" si="2"/>
        <v>1.0282361599999916</v>
      </c>
    </row>
    <row r="149" spans="1:2" ht="12.75">
      <c r="A149" s="1">
        <v>2.8516</v>
      </c>
      <c r="B149" s="1">
        <f t="shared" si="2"/>
        <v>1.0282361599999916</v>
      </c>
    </row>
    <row r="150" spans="1:2" ht="12.75">
      <c r="A150" s="1">
        <v>2.8516</v>
      </c>
      <c r="B150" s="1">
        <f t="shared" si="2"/>
        <v>1.0282361599999916</v>
      </c>
    </row>
    <row r="151" spans="1:3" ht="12.75">
      <c r="A151" s="1">
        <v>2.832</v>
      </c>
      <c r="B151" s="1">
        <f t="shared" si="2"/>
        <v>0.5128031999999934</v>
      </c>
      <c r="C151" t="s">
        <v>160</v>
      </c>
    </row>
    <row r="152" spans="1:2" ht="12.75">
      <c r="A152" s="1">
        <v>2.832</v>
      </c>
      <c r="B152" s="1">
        <f t="shared" si="2"/>
        <v>0.5128031999999934</v>
      </c>
    </row>
    <row r="153" spans="1:2" ht="12.75">
      <c r="A153" s="1">
        <v>2.832</v>
      </c>
      <c r="B153" s="1">
        <f t="shared" si="2"/>
        <v>0.5128031999999934</v>
      </c>
    </row>
    <row r="154" spans="1:2" ht="12.75">
      <c r="A154" s="1">
        <v>2.832</v>
      </c>
      <c r="B154" s="1">
        <f t="shared" si="2"/>
        <v>0.5128031999999934</v>
      </c>
    </row>
    <row r="155" spans="1:2" ht="12.75">
      <c r="A155" s="1">
        <v>2.832</v>
      </c>
      <c r="B155" s="1">
        <f t="shared" si="2"/>
        <v>0.5128031999999934</v>
      </c>
    </row>
    <row r="156" spans="1:2" ht="12.75">
      <c r="A156" s="1">
        <v>2.832</v>
      </c>
      <c r="B156" s="1">
        <f t="shared" si="2"/>
        <v>0.5128031999999934</v>
      </c>
    </row>
    <row r="157" spans="1:2" ht="12.75">
      <c r="A157" s="1">
        <v>2.832</v>
      </c>
      <c r="B157" s="1">
        <f t="shared" si="2"/>
        <v>0.5128031999999934</v>
      </c>
    </row>
    <row r="158" spans="1:2" ht="12.75">
      <c r="A158" s="1">
        <v>2.8125</v>
      </c>
      <c r="B158" s="1">
        <f t="shared" si="2"/>
        <v>0</v>
      </c>
    </row>
    <row r="159" spans="1:2" ht="12.75">
      <c r="A159" s="1">
        <v>2.8125</v>
      </c>
      <c r="B159" s="1">
        <f t="shared" si="2"/>
        <v>0</v>
      </c>
    </row>
    <row r="160" spans="1:2" ht="12.75">
      <c r="A160" s="1">
        <v>2.8125</v>
      </c>
      <c r="B160" s="1">
        <f t="shared" si="2"/>
        <v>0</v>
      </c>
    </row>
    <row r="161" spans="1:2" ht="12.75">
      <c r="A161" s="1">
        <v>2.8125</v>
      </c>
      <c r="B161" s="1">
        <f t="shared" si="2"/>
        <v>0</v>
      </c>
    </row>
    <row r="162" spans="1:2" ht="12.75">
      <c r="A162" s="1">
        <v>2.8125</v>
      </c>
      <c r="B162" s="1">
        <f t="shared" si="2"/>
        <v>0</v>
      </c>
    </row>
    <row r="163" spans="1:2" ht="12.75">
      <c r="A163" s="1">
        <v>2.8125</v>
      </c>
      <c r="B163" s="1">
        <f t="shared" si="2"/>
        <v>0</v>
      </c>
    </row>
    <row r="164" spans="1:2" ht="12.75">
      <c r="A164" s="1">
        <v>2.8125</v>
      </c>
      <c r="B164" s="1">
        <f t="shared" si="2"/>
        <v>0</v>
      </c>
    </row>
    <row r="165" spans="1:2" ht="12.75">
      <c r="A165" s="1">
        <v>2.8125</v>
      </c>
      <c r="B165" s="1">
        <f t="shared" si="2"/>
        <v>0</v>
      </c>
    </row>
    <row r="166" spans="1:2" ht="12.75">
      <c r="A166" s="1">
        <v>2.8125</v>
      </c>
      <c r="B166" s="1">
        <f t="shared" si="2"/>
        <v>0</v>
      </c>
    </row>
    <row r="167" spans="1:2" ht="12.75">
      <c r="A167" s="1">
        <v>2.8125</v>
      </c>
      <c r="B167" s="1">
        <f t="shared" si="2"/>
        <v>0</v>
      </c>
    </row>
    <row r="168" spans="1:2" ht="12.75">
      <c r="A168" s="1">
        <v>2.8125</v>
      </c>
      <c r="B168" s="1">
        <f t="shared" si="2"/>
        <v>0</v>
      </c>
    </row>
    <row r="169" spans="1:2" ht="12.75">
      <c r="A169" s="1">
        <v>2.8125</v>
      </c>
      <c r="B169" s="1">
        <f t="shared" si="2"/>
        <v>0</v>
      </c>
    </row>
    <row r="170" spans="1:2" ht="12.75">
      <c r="A170" s="1">
        <v>2.8125</v>
      </c>
      <c r="B170" s="1">
        <f t="shared" si="2"/>
        <v>0</v>
      </c>
    </row>
    <row r="171" spans="1:2" ht="12.75">
      <c r="A171" s="1">
        <v>2.8125</v>
      </c>
      <c r="B171" s="1">
        <f t="shared" si="2"/>
        <v>0</v>
      </c>
    </row>
    <row r="172" spans="1:2" ht="12.75">
      <c r="A172" s="1">
        <v>2.8125</v>
      </c>
      <c r="B172" s="1">
        <f t="shared" si="2"/>
        <v>0</v>
      </c>
    </row>
    <row r="173" spans="1:2" ht="12.75">
      <c r="A173" s="1">
        <v>2.8125</v>
      </c>
      <c r="B173" s="1">
        <f t="shared" si="2"/>
        <v>0</v>
      </c>
    </row>
    <row r="174" spans="1:2" ht="12.75">
      <c r="A174" s="1">
        <v>2.8125</v>
      </c>
      <c r="B174" s="1">
        <f t="shared" si="2"/>
        <v>0</v>
      </c>
    </row>
    <row r="175" spans="1:2" ht="12.75">
      <c r="A175" s="1">
        <v>2.8125</v>
      </c>
      <c r="B175" s="1">
        <f t="shared" si="2"/>
        <v>0</v>
      </c>
    </row>
    <row r="176" spans="1:2" ht="12.75">
      <c r="A176" s="1">
        <v>2.8125</v>
      </c>
      <c r="B176" s="1">
        <f t="shared" si="2"/>
        <v>0</v>
      </c>
    </row>
    <row r="177" spans="1:2" ht="12.75">
      <c r="A177" s="1">
        <v>2.8125</v>
      </c>
      <c r="B177" s="1">
        <f t="shared" si="2"/>
        <v>0</v>
      </c>
    </row>
    <row r="178" spans="1:2" ht="12.75">
      <c r="A178" s="1">
        <v>2.8125</v>
      </c>
      <c r="B178" s="1">
        <f t="shared" si="2"/>
        <v>0</v>
      </c>
    </row>
    <row r="179" spans="1:2" ht="12.75">
      <c r="A179" s="1">
        <v>2.8125</v>
      </c>
      <c r="B179" s="1">
        <f t="shared" si="2"/>
        <v>0</v>
      </c>
    </row>
    <row r="180" spans="1:2" ht="12.75">
      <c r="A180" s="1">
        <v>2.8125</v>
      </c>
      <c r="B180" s="1">
        <f t="shared" si="2"/>
        <v>0</v>
      </c>
    </row>
    <row r="181" spans="1:2" ht="12.75">
      <c r="A181" s="1">
        <v>2.8125</v>
      </c>
      <c r="B181" s="1">
        <f t="shared" si="2"/>
        <v>0</v>
      </c>
    </row>
    <row r="182" spans="1:2" ht="12.75">
      <c r="A182" s="1"/>
      <c r="B182" s="1"/>
    </row>
    <row r="183" spans="1:2" ht="12.75">
      <c r="A183" s="1"/>
      <c r="B183" s="1"/>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161</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A1" sqref="A1"/>
    </sheetView>
  </sheetViews>
  <sheetFormatPr defaultColWidth="9.140625" defaultRowHeight="12.75"/>
  <cols>
    <col min="1" max="1" width="26.57421875" style="0" customWidth="1"/>
    <col min="2" max="2" width="11.8515625" style="0" customWidth="1"/>
  </cols>
  <sheetData>
    <row r="1" spans="1:4" ht="12.75">
      <c r="A1" s="10" t="s">
        <v>134</v>
      </c>
      <c r="B1" s="11" t="s">
        <v>153</v>
      </c>
      <c r="D1" t="s">
        <v>129</v>
      </c>
    </row>
    <row r="2" ht="12.75">
      <c r="D2" t="s">
        <v>146</v>
      </c>
    </row>
    <row r="3" spans="1:4" ht="12.75">
      <c r="A3" s="7" t="s">
        <v>135</v>
      </c>
      <c r="B3" s="12">
        <v>4</v>
      </c>
      <c r="D3" t="s">
        <v>149</v>
      </c>
    </row>
    <row r="4" spans="1:4" ht="12.75">
      <c r="A4" s="7" t="s">
        <v>136</v>
      </c>
      <c r="B4" s="13">
        <v>0.5</v>
      </c>
      <c r="D4" t="s">
        <v>130</v>
      </c>
    </row>
    <row r="5" spans="1:8" ht="12.75">
      <c r="A5" s="7" t="s">
        <v>137</v>
      </c>
      <c r="B5" s="13">
        <v>0.15625</v>
      </c>
      <c r="H5" t="s">
        <v>140</v>
      </c>
    </row>
    <row r="6" spans="1:4" ht="12.75">
      <c r="A6" s="7" t="s">
        <v>138</v>
      </c>
      <c r="B6" s="13">
        <v>0.7975</v>
      </c>
      <c r="D6" s="14" t="s">
        <v>147</v>
      </c>
    </row>
    <row r="7" spans="1:14" ht="12.75">
      <c r="A7" s="7" t="s">
        <v>139</v>
      </c>
      <c r="B7" s="12">
        <v>0.25</v>
      </c>
      <c r="L7" t="s">
        <v>126</v>
      </c>
      <c r="M7" t="s">
        <v>127</v>
      </c>
      <c r="N7" t="s">
        <v>132</v>
      </c>
    </row>
    <row r="8" spans="5:17" ht="12.75">
      <c r="E8" t="s">
        <v>124</v>
      </c>
      <c r="F8" t="s">
        <v>118</v>
      </c>
      <c r="G8" t="s">
        <v>103</v>
      </c>
      <c r="H8" t="s">
        <v>111</v>
      </c>
      <c r="I8" t="s">
        <v>109</v>
      </c>
      <c r="J8" t="s">
        <v>112</v>
      </c>
      <c r="K8" t="s">
        <v>114</v>
      </c>
      <c r="L8" t="s">
        <v>112</v>
      </c>
      <c r="M8" t="s">
        <v>115</v>
      </c>
      <c r="N8" t="s">
        <v>116</v>
      </c>
      <c r="O8" t="s">
        <v>119</v>
      </c>
      <c r="P8" t="s">
        <v>122</v>
      </c>
      <c r="Q8" t="s">
        <v>21</v>
      </c>
    </row>
    <row r="9" spans="4:16" ht="12.75">
      <c r="D9" s="15" t="s">
        <v>108</v>
      </c>
      <c r="E9" t="s">
        <v>128</v>
      </c>
      <c r="G9" t="s">
        <v>6</v>
      </c>
      <c r="I9" t="s">
        <v>117</v>
      </c>
      <c r="J9" t="s">
        <v>125</v>
      </c>
      <c r="K9" t="s">
        <v>110</v>
      </c>
      <c r="L9" t="s">
        <v>113</v>
      </c>
      <c r="M9" t="s">
        <v>131</v>
      </c>
      <c r="N9" t="s">
        <v>110</v>
      </c>
      <c r="O9" t="s">
        <v>120</v>
      </c>
      <c r="P9" t="s">
        <v>123</v>
      </c>
    </row>
    <row r="10" spans="1:17" ht="12.75">
      <c r="A10" t="s">
        <v>141</v>
      </c>
      <c r="B10" s="16">
        <f>(($B$4-$B$5))/29</f>
        <v>0.011853448275862068</v>
      </c>
      <c r="C10" s="17" t="s">
        <v>143</v>
      </c>
      <c r="D10" s="15">
        <v>0</v>
      </c>
      <c r="E10" s="1">
        <f>D10*$B$10</f>
        <v>0</v>
      </c>
      <c r="F10">
        <f>B4</f>
        <v>0.5</v>
      </c>
      <c r="G10" s="1">
        <f>$B6-E10</f>
        <v>0.7975</v>
      </c>
      <c r="H10" s="3">
        <f>$B5+E10</f>
        <v>0.15625</v>
      </c>
      <c r="I10" s="2">
        <f>(F10*(PI())*G10)</f>
        <v>1.25271007061893</v>
      </c>
      <c r="J10" s="2">
        <f>((F10/2)^2)*PI()</f>
        <v>0.19634954084936207</v>
      </c>
      <c r="K10" s="2">
        <f>((H10/2)^2)*PI()</f>
        <v>0.019174759848570515</v>
      </c>
      <c r="L10" s="2">
        <f>J10-K10</f>
        <v>0.17717478100079156</v>
      </c>
      <c r="M10" s="2">
        <f>(H10*PI())*G10</f>
        <v>0.3914718970684156</v>
      </c>
      <c r="N10" s="2">
        <f>(L10*2)+M10</f>
        <v>0.7458214590699987</v>
      </c>
      <c r="O10" s="2">
        <f>N10*B3</f>
        <v>2.983285836279995</v>
      </c>
      <c r="P10" s="18">
        <f>(F10-H10)/2</f>
        <v>0.171875</v>
      </c>
      <c r="Q10" s="2">
        <f>O10/B12</f>
        <v>60.775</v>
      </c>
    </row>
    <row r="11" spans="1:17" ht="12.75">
      <c r="A11" t="s">
        <v>104</v>
      </c>
      <c r="B11" s="1">
        <f>$O$10</f>
        <v>2.983285836279995</v>
      </c>
      <c r="C11" s="17" t="s">
        <v>144</v>
      </c>
      <c r="D11" s="15">
        <v>1</v>
      </c>
      <c r="E11" s="1">
        <f>D11*B10</f>
        <v>0.011853448275862068</v>
      </c>
      <c r="F11">
        <f>B4</f>
        <v>0.5</v>
      </c>
      <c r="G11" s="1">
        <f>$B6-E11</f>
        <v>0.7856465517241379</v>
      </c>
      <c r="H11" s="3">
        <f>$B5+E11</f>
        <v>0.16810344827586207</v>
      </c>
      <c r="I11" s="2">
        <f aca="true" t="shared" si="0" ref="I11:I38">(F11*(PI())*G11)</f>
        <v>1.2340907176073526</v>
      </c>
      <c r="J11" s="2">
        <f aca="true" t="shared" si="1" ref="J11:J38">((F11/2)^2)*PI()</f>
        <v>0.19634954084936207</v>
      </c>
      <c r="K11" s="2">
        <f aca="true" t="shared" si="2" ref="K11:K38">((H11/2)^2)*PI()</f>
        <v>0.022194385525555867</v>
      </c>
      <c r="L11" s="2">
        <f aca="true" t="shared" si="3" ref="L11:L38">J11-K11</f>
        <v>0.1741551553238062</v>
      </c>
      <c r="M11" s="2">
        <f aca="true" t="shared" si="4" ref="M11:M38">(H11*PI())*G11</f>
        <v>0.41490981023005824</v>
      </c>
      <c r="N11" s="2">
        <f aca="true" t="shared" si="5" ref="N11:N38">(L11*2)+M11</f>
        <v>0.7632201208776707</v>
      </c>
      <c r="O11" s="2">
        <f>N11*B3</f>
        <v>3.0528804835106826</v>
      </c>
      <c r="P11" s="18">
        <f aca="true" t="shared" si="6" ref="P11:P39">(F11-H11)/2</f>
        <v>0.16594827586206895</v>
      </c>
      <c r="Q11" s="2">
        <f>O11/B12</f>
        <v>62.19277051129608</v>
      </c>
    </row>
    <row r="12" spans="1:17" ht="12.75">
      <c r="A12" t="s">
        <v>107</v>
      </c>
      <c r="B12" s="1">
        <f>((B7/2)^2)*PI()</f>
        <v>0.04908738521234052</v>
      </c>
      <c r="C12" s="14" t="s">
        <v>145</v>
      </c>
      <c r="D12" s="15">
        <v>2</v>
      </c>
      <c r="E12" s="1">
        <f>D12*B10</f>
        <v>0.023706896551724137</v>
      </c>
      <c r="F12">
        <f>B4</f>
        <v>0.5</v>
      </c>
      <c r="G12" s="1">
        <f>$B6-E12</f>
        <v>0.7737931034482759</v>
      </c>
      <c r="H12" s="3">
        <f>$B5+E12</f>
        <v>0.17995689655172414</v>
      </c>
      <c r="I12" s="2">
        <f t="shared" si="0"/>
        <v>1.215471364595775</v>
      </c>
      <c r="J12" s="2">
        <f t="shared" si="1"/>
        <v>0.19634954084936207</v>
      </c>
      <c r="K12" s="2">
        <f t="shared" si="2"/>
        <v>0.025434714740393966</v>
      </c>
      <c r="L12" s="2">
        <f t="shared" si="3"/>
        <v>0.1709148261089681</v>
      </c>
      <c r="M12" s="2">
        <f t="shared" si="4"/>
        <v>0.4374649092402898</v>
      </c>
      <c r="N12" s="2">
        <f t="shared" si="5"/>
        <v>0.7792945614582261</v>
      </c>
      <c r="O12" s="2">
        <f>N12*B3</f>
        <v>3.1171782458329043</v>
      </c>
      <c r="P12" s="18">
        <f t="shared" si="6"/>
        <v>0.16002155172413793</v>
      </c>
      <c r="Q12" s="2">
        <f>O12/B12</f>
        <v>63.502633769322244</v>
      </c>
    </row>
    <row r="13" spans="1:17" ht="12.75">
      <c r="A13" t="s">
        <v>151</v>
      </c>
      <c r="B13" s="1">
        <f>((B5/2)^2)*PI()</f>
        <v>0.019174759848570515</v>
      </c>
      <c r="D13" s="15">
        <v>3</v>
      </c>
      <c r="E13" s="1">
        <f>D13*B10</f>
        <v>0.0355603448275862</v>
      </c>
      <c r="F13">
        <f>B4</f>
        <v>0.5</v>
      </c>
      <c r="G13" s="1">
        <f>$B6-E13</f>
        <v>0.7619396551724138</v>
      </c>
      <c r="H13" s="3">
        <f>$B5+E13</f>
        <v>0.1918103448275862</v>
      </c>
      <c r="I13" s="2">
        <f t="shared" si="0"/>
        <v>1.1968520115841976</v>
      </c>
      <c r="J13" s="2">
        <f t="shared" si="1"/>
        <v>0.19634954084936207</v>
      </c>
      <c r="K13" s="2">
        <f t="shared" si="2"/>
        <v>0.02889574749308481</v>
      </c>
      <c r="L13" s="2">
        <f t="shared" si="3"/>
        <v>0.16745379335627725</v>
      </c>
      <c r="M13" s="2">
        <f t="shared" si="4"/>
        <v>0.4591371940991103</v>
      </c>
      <c r="N13" s="2">
        <f t="shared" si="5"/>
        <v>0.7940447808116649</v>
      </c>
      <c r="O13" s="2">
        <f>N13*B3</f>
        <v>3.1761791232466594</v>
      </c>
      <c r="P13" s="18">
        <f t="shared" si="6"/>
        <v>0.1540948275862069</v>
      </c>
      <c r="Q13" s="2">
        <f>O13/B12</f>
        <v>64.70458977407849</v>
      </c>
    </row>
    <row r="14" spans="1:17" ht="12.75">
      <c r="A14" t="s">
        <v>152</v>
      </c>
      <c r="B14">
        <f>B13/B12</f>
        <v>0.390625</v>
      </c>
      <c r="D14" s="15">
        <v>4</v>
      </c>
      <c r="E14" s="1">
        <f>D14*B10</f>
        <v>0.04741379310344827</v>
      </c>
      <c r="F14">
        <f>B4</f>
        <v>0.5</v>
      </c>
      <c r="G14" s="1">
        <f>$B6-E14</f>
        <v>0.7500862068965517</v>
      </c>
      <c r="H14" s="3">
        <f>$B5+E14</f>
        <v>0.2036637931034483</v>
      </c>
      <c r="I14" s="2">
        <f t="shared" si="0"/>
        <v>1.1782326585726202</v>
      </c>
      <c r="J14" s="2">
        <f t="shared" si="1"/>
        <v>0.19634954084936207</v>
      </c>
      <c r="K14" s="2">
        <f t="shared" si="2"/>
        <v>0.032577483783628416</v>
      </c>
      <c r="L14" s="2">
        <f t="shared" si="3"/>
        <v>0.16377205706573367</v>
      </c>
      <c r="M14" s="2">
        <f t="shared" si="4"/>
        <v>0.47992666480651985</v>
      </c>
      <c r="N14" s="2">
        <f t="shared" si="5"/>
        <v>0.8074707789379871</v>
      </c>
      <c r="O14" s="2">
        <f>N14*B3</f>
        <v>3.2298831157519485</v>
      </c>
      <c r="P14" s="18">
        <f t="shared" si="6"/>
        <v>0.14816810344827586</v>
      </c>
      <c r="Q14" s="2">
        <f>O14/B12</f>
        <v>65.7986385255648</v>
      </c>
    </row>
    <row r="15" spans="1:17" ht="12.75">
      <c r="A15" t="s">
        <v>105</v>
      </c>
      <c r="B15" s="15">
        <f>$Q$10</f>
        <v>60.775</v>
      </c>
      <c r="D15" s="15">
        <v>5</v>
      </c>
      <c r="E15" s="1">
        <f>D15*B10</f>
        <v>0.059267241379310345</v>
      </c>
      <c r="F15">
        <f>B4</f>
        <v>0.5</v>
      </c>
      <c r="G15" s="1">
        <f>$B6-E15</f>
        <v>0.7382327586206896</v>
      </c>
      <c r="H15" s="3">
        <f>$B5+E15</f>
        <v>0.21551724137931033</v>
      </c>
      <c r="I15" s="2">
        <f t="shared" si="0"/>
        <v>1.1596133055610427</v>
      </c>
      <c r="J15" s="2">
        <f t="shared" si="1"/>
        <v>0.19634954084936207</v>
      </c>
      <c r="K15" s="2">
        <f t="shared" si="2"/>
        <v>0.036479923612024755</v>
      </c>
      <c r="L15" s="2">
        <f t="shared" si="3"/>
        <v>0.1598696172373373</v>
      </c>
      <c r="M15" s="2">
        <f t="shared" si="4"/>
        <v>0.4998333213625184</v>
      </c>
      <c r="N15" s="2">
        <f t="shared" si="5"/>
        <v>0.819572555837193</v>
      </c>
      <c r="O15" s="2">
        <f>N15*B3</f>
        <v>3.278290223348772</v>
      </c>
      <c r="P15" s="18">
        <f t="shared" si="6"/>
        <v>0.14224137931034483</v>
      </c>
      <c r="Q15" s="2">
        <f>O15/B12</f>
        <v>66.78478002378121</v>
      </c>
    </row>
    <row r="16" spans="1:17" ht="12.75">
      <c r="A16" t="s">
        <v>106</v>
      </c>
      <c r="B16" s="15">
        <f>MAX(Q11:Q39)</f>
        <v>70.80422711058264</v>
      </c>
      <c r="D16" s="15">
        <v>6</v>
      </c>
      <c r="E16" s="1">
        <f>D16*B10</f>
        <v>0.0711206896551724</v>
      </c>
      <c r="F16">
        <f>B4</f>
        <v>0.5</v>
      </c>
      <c r="G16" s="1">
        <f>$B6-E16</f>
        <v>0.7263793103448276</v>
      </c>
      <c r="H16" s="3">
        <f>$B5+E16</f>
        <v>0.2273706896551724</v>
      </c>
      <c r="I16" s="2">
        <f t="shared" si="0"/>
        <v>1.1409939525494655</v>
      </c>
      <c r="J16" s="2">
        <f t="shared" si="1"/>
        <v>0.19634954084936207</v>
      </c>
      <c r="K16" s="2">
        <f t="shared" si="2"/>
        <v>0.04060306697827385</v>
      </c>
      <c r="L16" s="2">
        <f t="shared" si="3"/>
        <v>0.15574647387108823</v>
      </c>
      <c r="M16" s="2">
        <f t="shared" si="4"/>
        <v>0.518857163767106</v>
      </c>
      <c r="N16" s="2">
        <f t="shared" si="5"/>
        <v>0.8303501115092824</v>
      </c>
      <c r="O16" s="2">
        <f>N16*B3</f>
        <v>3.3214004460371296</v>
      </c>
      <c r="P16" s="18">
        <f t="shared" si="6"/>
        <v>0.1363146551724138</v>
      </c>
      <c r="Q16" s="2">
        <f>O16/B12</f>
        <v>67.66301426872771</v>
      </c>
    </row>
    <row r="17" spans="1:17" ht="12.75">
      <c r="A17" t="s">
        <v>142</v>
      </c>
      <c r="B17" s="15">
        <f>$Q$39</f>
        <v>58.08</v>
      </c>
      <c r="D17" s="15">
        <v>7</v>
      </c>
      <c r="E17" s="1">
        <f>D17*B10</f>
        <v>0.08297413793103448</v>
      </c>
      <c r="F17">
        <f>B4</f>
        <v>0.5</v>
      </c>
      <c r="G17" s="1">
        <f>$B6-E17</f>
        <v>0.7145258620689655</v>
      </c>
      <c r="H17" s="3">
        <f>$B5+E17</f>
        <v>0.23922413793103448</v>
      </c>
      <c r="I17" s="2">
        <f t="shared" si="0"/>
        <v>1.122374599537888</v>
      </c>
      <c r="J17" s="2">
        <f t="shared" si="1"/>
        <v>0.19634954084936207</v>
      </c>
      <c r="K17" s="2">
        <f t="shared" si="2"/>
        <v>0.044946913882375705</v>
      </c>
      <c r="L17" s="2">
        <f t="shared" si="3"/>
        <v>0.15140262696698636</v>
      </c>
      <c r="M17" s="2">
        <f t="shared" si="4"/>
        <v>0.5369981920202825</v>
      </c>
      <c r="N17" s="2">
        <f t="shared" si="5"/>
        <v>0.8398034459542553</v>
      </c>
      <c r="O17" s="2">
        <f>N17*B3</f>
        <v>3.359213783817021</v>
      </c>
      <c r="P17" s="18">
        <f t="shared" si="6"/>
        <v>0.13038793103448276</v>
      </c>
      <c r="Q17" s="2">
        <f>O17/B12</f>
        <v>68.43334126040428</v>
      </c>
    </row>
    <row r="18" spans="2:17" ht="12.75">
      <c r="B18" s="1"/>
      <c r="D18" s="15">
        <v>8</v>
      </c>
      <c r="E18" s="1">
        <f>D18*B10</f>
        <v>0.09482758620689655</v>
      </c>
      <c r="F18">
        <f>B4</f>
        <v>0.5</v>
      </c>
      <c r="G18" s="1">
        <f>$B6-E18</f>
        <v>0.7026724137931034</v>
      </c>
      <c r="H18" s="3">
        <f>$B5+E18</f>
        <v>0.2510775862068966</v>
      </c>
      <c r="I18" s="2">
        <f t="shared" si="0"/>
        <v>1.1037552465263105</v>
      </c>
      <c r="J18" s="2">
        <f t="shared" si="1"/>
        <v>0.19634954084936207</v>
      </c>
      <c r="K18" s="2">
        <f t="shared" si="2"/>
        <v>0.04951146432433031</v>
      </c>
      <c r="L18" s="2">
        <f t="shared" si="3"/>
        <v>0.14683807652503175</v>
      </c>
      <c r="M18" s="2">
        <f t="shared" si="4"/>
        <v>0.5542564061220482</v>
      </c>
      <c r="N18" s="2">
        <f t="shared" si="5"/>
        <v>0.8479325591721116</v>
      </c>
      <c r="O18" s="2">
        <f>N18*B3</f>
        <v>3.3917302366884465</v>
      </c>
      <c r="P18" s="18">
        <f t="shared" si="6"/>
        <v>0.12446120689655171</v>
      </c>
      <c r="Q18" s="2">
        <f>O18/B12</f>
        <v>69.09576099881093</v>
      </c>
    </row>
    <row r="19" spans="1:17" ht="12.75">
      <c r="A19" t="s">
        <v>133</v>
      </c>
      <c r="B19" s="1">
        <f>((B4*3)+B5)/2</f>
        <v>0.828125</v>
      </c>
      <c r="C19" s="17" t="s">
        <v>150</v>
      </c>
      <c r="D19" s="15">
        <v>9</v>
      </c>
      <c r="E19" s="1">
        <f>D19*B10</f>
        <v>0.10668103448275862</v>
      </c>
      <c r="F19">
        <f>B4</f>
        <v>0.5</v>
      </c>
      <c r="G19" s="1">
        <f>$B6-E19</f>
        <v>0.6908189655172414</v>
      </c>
      <c r="H19" s="3">
        <f>$B5+E19</f>
        <v>0.2629310344827586</v>
      </c>
      <c r="I19" s="2">
        <f t="shared" si="0"/>
        <v>1.085135893514733</v>
      </c>
      <c r="J19" s="2">
        <f t="shared" si="1"/>
        <v>0.19634954084936207</v>
      </c>
      <c r="K19" s="2">
        <f t="shared" si="2"/>
        <v>0.05429671830413765</v>
      </c>
      <c r="L19" s="2">
        <f t="shared" si="3"/>
        <v>0.14205282254522442</v>
      </c>
      <c r="M19" s="2">
        <f t="shared" si="4"/>
        <v>0.5706318060724027</v>
      </c>
      <c r="N19" s="2">
        <f t="shared" si="5"/>
        <v>0.8547374511628516</v>
      </c>
      <c r="O19" s="2">
        <f>N19*B3</f>
        <v>3.4189498046514064</v>
      </c>
      <c r="P19" s="18">
        <f t="shared" si="6"/>
        <v>0.11853448275862069</v>
      </c>
      <c r="Q19" s="2">
        <f>O19/B12</f>
        <v>69.65027348394769</v>
      </c>
    </row>
    <row r="20" spans="4:17" ht="12.75">
      <c r="D20" s="15">
        <v>10</v>
      </c>
      <c r="E20" s="1">
        <f>D20*B10</f>
        <v>0.11853448275862069</v>
      </c>
      <c r="F20">
        <f>B4</f>
        <v>0.5</v>
      </c>
      <c r="G20" s="1">
        <f>$B6-E20</f>
        <v>0.6789655172413793</v>
      </c>
      <c r="H20" s="3">
        <f>$B5+E20</f>
        <v>0.27478448275862066</v>
      </c>
      <c r="I20" s="2">
        <f t="shared" si="0"/>
        <v>1.0665165405031556</v>
      </c>
      <c r="J20" s="2">
        <f t="shared" si="1"/>
        <v>0.19634954084936207</v>
      </c>
      <c r="K20" s="2">
        <f t="shared" si="2"/>
        <v>0.05930267582179774</v>
      </c>
      <c r="L20" s="2">
        <f t="shared" si="3"/>
        <v>0.13704686502756433</v>
      </c>
      <c r="M20" s="2">
        <f t="shared" si="4"/>
        <v>0.5861243918713462</v>
      </c>
      <c r="N20" s="2">
        <f t="shared" si="5"/>
        <v>0.8602181219264748</v>
      </c>
      <c r="O20" s="2">
        <f>N20*B3</f>
        <v>3.4408724877058994</v>
      </c>
      <c r="P20" s="18">
        <f t="shared" si="6"/>
        <v>0.11260775862068967</v>
      </c>
      <c r="Q20" s="2">
        <f>O20/B12</f>
        <v>70.0968787158145</v>
      </c>
    </row>
    <row r="21" spans="4:17" ht="12.75">
      <c r="D21" s="15">
        <v>11</v>
      </c>
      <c r="E21" s="1">
        <f>D21*B10</f>
        <v>0.13038793103448276</v>
      </c>
      <c r="F21">
        <f>B4</f>
        <v>0.5</v>
      </c>
      <c r="G21" s="1">
        <f>$B6-E21</f>
        <v>0.6671120689655172</v>
      </c>
      <c r="H21" s="3">
        <f>$B5+E21</f>
        <v>0.28663793103448276</v>
      </c>
      <c r="I21" s="2">
        <f t="shared" si="0"/>
        <v>1.0478971874915781</v>
      </c>
      <c r="J21" s="2">
        <f t="shared" si="1"/>
        <v>0.19634954084936207</v>
      </c>
      <c r="K21" s="2">
        <f t="shared" si="2"/>
        <v>0.06452933687731059</v>
      </c>
      <c r="L21" s="2">
        <f t="shared" si="3"/>
        <v>0.13182020397205146</v>
      </c>
      <c r="M21" s="2">
        <f t="shared" si="4"/>
        <v>0.6007341635188789</v>
      </c>
      <c r="N21" s="2">
        <f t="shared" si="5"/>
        <v>0.8643745714629818</v>
      </c>
      <c r="O21" s="2">
        <f>N21*B3</f>
        <v>3.457498285851927</v>
      </c>
      <c r="P21" s="18">
        <f t="shared" si="6"/>
        <v>0.10668103448275862</v>
      </c>
      <c r="Q21" s="2">
        <f>O21/B12</f>
        <v>70.43557669441141</v>
      </c>
    </row>
    <row r="22" spans="4:17" ht="12.75">
      <c r="D22" s="15">
        <v>12</v>
      </c>
      <c r="E22" s="1">
        <f>D22*B10</f>
        <v>0.1422413793103448</v>
      </c>
      <c r="F22">
        <f>B4</f>
        <v>0.5</v>
      </c>
      <c r="G22" s="1">
        <f>$B6-E22</f>
        <v>0.6552586206896551</v>
      </c>
      <c r="H22" s="3">
        <f>$B5+E22</f>
        <v>0.2984913793103448</v>
      </c>
      <c r="I22" s="2">
        <f t="shared" si="0"/>
        <v>1.0292778344800007</v>
      </c>
      <c r="J22" s="2">
        <f t="shared" si="1"/>
        <v>0.19634954084936207</v>
      </c>
      <c r="K22" s="2">
        <f t="shared" si="2"/>
        <v>0.06997670147067618</v>
      </c>
      <c r="L22" s="2">
        <f t="shared" si="3"/>
        <v>0.12637283937868588</v>
      </c>
      <c r="M22" s="2">
        <f t="shared" si="4"/>
        <v>0.6144611210150004</v>
      </c>
      <c r="N22" s="2">
        <f t="shared" si="5"/>
        <v>0.8672067997723721</v>
      </c>
      <c r="O22" s="2">
        <f>N22*B3</f>
        <v>3.4688271990894886</v>
      </c>
      <c r="P22" s="18">
        <f t="shared" si="6"/>
        <v>0.1007543103448276</v>
      </c>
      <c r="Q22" s="2">
        <f>O22/B12</f>
        <v>70.6663674197384</v>
      </c>
    </row>
    <row r="23" spans="4:17" ht="12.75">
      <c r="D23" s="15">
        <v>13</v>
      </c>
      <c r="E23" s="1">
        <f>D23*B10</f>
        <v>0.15409482758620688</v>
      </c>
      <c r="F23">
        <f>B4</f>
        <v>0.5</v>
      </c>
      <c r="G23" s="1">
        <f>$B6-E23</f>
        <v>0.6434051724137931</v>
      </c>
      <c r="H23" s="3">
        <f>$B5+E23</f>
        <v>0.31034482758620685</v>
      </c>
      <c r="I23" s="2">
        <f t="shared" si="0"/>
        <v>1.0106584814684234</v>
      </c>
      <c r="J23" s="2">
        <f t="shared" si="1"/>
        <v>0.19634954084936207</v>
      </c>
      <c r="K23" s="2">
        <f t="shared" si="2"/>
        <v>0.07564476960189452</v>
      </c>
      <c r="L23" s="2">
        <f t="shared" si="3"/>
        <v>0.12070477124746755</v>
      </c>
      <c r="M23" s="2">
        <f t="shared" si="4"/>
        <v>0.627305264359711</v>
      </c>
      <c r="N23" s="2">
        <f t="shared" si="5"/>
        <v>0.8687148068546461</v>
      </c>
      <c r="O23" s="2">
        <f>N23*B3</f>
        <v>3.4748592274185843</v>
      </c>
      <c r="P23" s="18">
        <f t="shared" si="6"/>
        <v>0.09482758620689657</v>
      </c>
      <c r="Q23" s="2">
        <f>O23/B12</f>
        <v>70.78925089179548</v>
      </c>
    </row>
    <row r="24" spans="4:17" ht="12.75">
      <c r="D24" s="15">
        <v>14</v>
      </c>
      <c r="E24" s="1">
        <f>D24*B10</f>
        <v>0.16594827586206895</v>
      </c>
      <c r="F24">
        <f>B4</f>
        <v>0.5</v>
      </c>
      <c r="G24" s="1">
        <f>$B6-E24</f>
        <v>0.631551724137931</v>
      </c>
      <c r="H24" s="3">
        <f>$B5+E24</f>
        <v>0.32219827586206895</v>
      </c>
      <c r="I24" s="2">
        <f t="shared" si="0"/>
        <v>0.9920391284568458</v>
      </c>
      <c r="J24" s="2">
        <f t="shared" si="1"/>
        <v>0.19634954084936207</v>
      </c>
      <c r="K24" s="2">
        <f t="shared" si="2"/>
        <v>0.08153354127096563</v>
      </c>
      <c r="L24" s="2">
        <f t="shared" si="3"/>
        <v>0.11481599957839644</v>
      </c>
      <c r="M24" s="2">
        <f t="shared" si="4"/>
        <v>0.6392665935530106</v>
      </c>
      <c r="N24" s="2">
        <f t="shared" si="5"/>
        <v>0.8688985927098035</v>
      </c>
      <c r="O24" s="2">
        <f>N24*B3</f>
        <v>3.475594370839214</v>
      </c>
      <c r="P24" s="18">
        <f t="shared" si="6"/>
        <v>0.08890086206896552</v>
      </c>
      <c r="Q24" s="2">
        <f>O24/B12</f>
        <v>70.80422711058264</v>
      </c>
    </row>
    <row r="25" spans="4:17" ht="12.75">
      <c r="D25" s="15">
        <v>15</v>
      </c>
      <c r="E25" s="1">
        <f>D25*B10</f>
        <v>0.17780172413793102</v>
      </c>
      <c r="F25">
        <f>B4</f>
        <v>0.5</v>
      </c>
      <c r="G25" s="1">
        <f>$B6-E25</f>
        <v>0.6196982758620689</v>
      </c>
      <c r="H25" s="3">
        <f>$B5+E25</f>
        <v>0.33405172413793105</v>
      </c>
      <c r="I25" s="2">
        <f t="shared" si="0"/>
        <v>0.9734197754452684</v>
      </c>
      <c r="J25" s="2">
        <f t="shared" si="1"/>
        <v>0.19634954084936207</v>
      </c>
      <c r="K25" s="2">
        <f t="shared" si="2"/>
        <v>0.0876430164778895</v>
      </c>
      <c r="L25" s="2">
        <f t="shared" si="3"/>
        <v>0.10870652437147257</v>
      </c>
      <c r="M25" s="2">
        <f t="shared" si="4"/>
        <v>0.6503451085948992</v>
      </c>
      <c r="N25" s="2">
        <f t="shared" si="5"/>
        <v>0.8677581573378443</v>
      </c>
      <c r="O25" s="2">
        <f>N25*B3</f>
        <v>3.4710326293513774</v>
      </c>
      <c r="P25" s="18">
        <f t="shared" si="6"/>
        <v>0.08297413793103448</v>
      </c>
      <c r="Q25" s="2">
        <f>O25/B12</f>
        <v>70.71129607609988</v>
      </c>
    </row>
    <row r="26" spans="4:17" ht="12.75">
      <c r="D26" s="15">
        <v>16</v>
      </c>
      <c r="E26" s="1">
        <f>D26*B10</f>
        <v>0.1896551724137931</v>
      </c>
      <c r="F26">
        <f>B4</f>
        <v>0.5</v>
      </c>
      <c r="G26" s="1">
        <f>$B6-E26</f>
        <v>0.607844827586207</v>
      </c>
      <c r="H26" s="3">
        <f>$B5+E26</f>
        <v>0.3459051724137931</v>
      </c>
      <c r="I26" s="2">
        <f t="shared" si="0"/>
        <v>0.9548004224336911</v>
      </c>
      <c r="J26" s="2">
        <f t="shared" si="1"/>
        <v>0.19634954084936207</v>
      </c>
      <c r="K26" s="2">
        <f t="shared" si="2"/>
        <v>0.09397319522266608</v>
      </c>
      <c r="L26" s="2">
        <f t="shared" si="3"/>
        <v>0.102376345626696</v>
      </c>
      <c r="M26" s="2">
        <f t="shared" si="4"/>
        <v>0.6605408094853767</v>
      </c>
      <c r="N26" s="2">
        <f t="shared" si="5"/>
        <v>0.8652935007387688</v>
      </c>
      <c r="O26" s="2">
        <f>N26*B3</f>
        <v>3.461174002955075</v>
      </c>
      <c r="P26" s="18">
        <f t="shared" si="6"/>
        <v>0.07704741379310345</v>
      </c>
      <c r="Q26" s="2">
        <f>O26/B12</f>
        <v>70.51045778834721</v>
      </c>
    </row>
    <row r="27" spans="4:17" ht="12.75">
      <c r="D27" s="15">
        <v>17</v>
      </c>
      <c r="E27" s="1">
        <f>D27*B10</f>
        <v>0.20150862068965517</v>
      </c>
      <c r="F27">
        <f>B4</f>
        <v>0.5</v>
      </c>
      <c r="G27" s="1">
        <f>$B6-E27</f>
        <v>0.5959913793103448</v>
      </c>
      <c r="H27" s="3">
        <f>$B5+E27</f>
        <v>0.35775862068965514</v>
      </c>
      <c r="I27" s="2">
        <f t="shared" si="0"/>
        <v>0.9361810694221135</v>
      </c>
      <c r="J27" s="2">
        <f t="shared" si="1"/>
        <v>0.19634954084936207</v>
      </c>
      <c r="K27" s="2">
        <f t="shared" si="2"/>
        <v>0.10052407750529542</v>
      </c>
      <c r="L27" s="2">
        <f t="shared" si="3"/>
        <v>0.09582546334406665</v>
      </c>
      <c r="M27" s="2">
        <f t="shared" si="4"/>
        <v>0.6698536962244434</v>
      </c>
      <c r="N27" s="2">
        <f t="shared" si="5"/>
        <v>0.8615046229125767</v>
      </c>
      <c r="O27" s="2">
        <f>N27*B3</f>
        <v>3.4460184916503067</v>
      </c>
      <c r="P27" s="18">
        <f t="shared" si="6"/>
        <v>0.07112068965517243</v>
      </c>
      <c r="Q27" s="2">
        <f>O27/B12</f>
        <v>70.20171224732462</v>
      </c>
    </row>
    <row r="28" spans="4:17" ht="12.75">
      <c r="D28" s="15">
        <v>18</v>
      </c>
      <c r="E28" s="1">
        <f>D28*B10</f>
        <v>0.21336206896551724</v>
      </c>
      <c r="F28">
        <f>B4</f>
        <v>0.5</v>
      </c>
      <c r="G28" s="1">
        <f>$B6-E28</f>
        <v>0.5841379310344827</v>
      </c>
      <c r="H28" s="3">
        <f>$B5+E28</f>
        <v>0.36961206896551724</v>
      </c>
      <c r="I28" s="2">
        <f t="shared" si="0"/>
        <v>0.9175617164105361</v>
      </c>
      <c r="J28" s="2">
        <f t="shared" si="1"/>
        <v>0.19634954084936207</v>
      </c>
      <c r="K28" s="2">
        <f t="shared" si="2"/>
        <v>0.10729566332577752</v>
      </c>
      <c r="L28" s="2">
        <f t="shared" si="3"/>
        <v>0.08905387752358455</v>
      </c>
      <c r="M28" s="2">
        <f t="shared" si="4"/>
        <v>0.678283768812099</v>
      </c>
      <c r="N28" s="2">
        <f t="shared" si="5"/>
        <v>0.8563915238592681</v>
      </c>
      <c r="O28" s="2">
        <f>N28*B3</f>
        <v>3.4255660954370724</v>
      </c>
      <c r="P28" s="18">
        <f t="shared" si="6"/>
        <v>0.06519396551724138</v>
      </c>
      <c r="Q28" s="2">
        <f>O28/B12</f>
        <v>69.78505945303212</v>
      </c>
    </row>
    <row r="29" spans="4:17" ht="12.75">
      <c r="D29" s="15">
        <v>19</v>
      </c>
      <c r="E29" s="1">
        <f>D29*B10</f>
        <v>0.2252155172413793</v>
      </c>
      <c r="F29">
        <f>B4</f>
        <v>0.5</v>
      </c>
      <c r="G29" s="1">
        <f>$B6-E29</f>
        <v>0.5722844827586206</v>
      </c>
      <c r="H29" s="3">
        <f>$B5+E29</f>
        <v>0.38146551724137934</v>
      </c>
      <c r="I29" s="2">
        <f t="shared" si="0"/>
        <v>0.8989423633989586</v>
      </c>
      <c r="J29" s="2">
        <f t="shared" si="1"/>
        <v>0.19634954084936207</v>
      </c>
      <c r="K29" s="2">
        <f t="shared" si="2"/>
        <v>0.11428795268411239</v>
      </c>
      <c r="L29" s="2">
        <f t="shared" si="3"/>
        <v>0.08206158816524968</v>
      </c>
      <c r="M29" s="2">
        <f t="shared" si="4"/>
        <v>0.6858310272483434</v>
      </c>
      <c r="N29" s="2">
        <f t="shared" si="5"/>
        <v>0.8499542035788428</v>
      </c>
      <c r="O29" s="2">
        <f>N29*B3</f>
        <v>3.399816814315371</v>
      </c>
      <c r="P29" s="18">
        <f t="shared" si="6"/>
        <v>0.05926724137931033</v>
      </c>
      <c r="Q29" s="2">
        <f>O29/B12</f>
        <v>69.26049940546967</v>
      </c>
    </row>
    <row r="30" spans="4:17" ht="12.75">
      <c r="D30" s="15">
        <v>20</v>
      </c>
      <c r="E30" s="1">
        <f>D30*B10</f>
        <v>0.23706896551724138</v>
      </c>
      <c r="F30">
        <f>B4</f>
        <v>0.5</v>
      </c>
      <c r="G30" s="1">
        <f>$B6-E30</f>
        <v>0.5604310344827585</v>
      </c>
      <c r="H30" s="3">
        <f>$B5+E30</f>
        <v>0.3933189655172414</v>
      </c>
      <c r="I30" s="2">
        <f t="shared" si="0"/>
        <v>0.8803230103873811</v>
      </c>
      <c r="J30" s="2">
        <f t="shared" si="1"/>
        <v>0.19634954084936207</v>
      </c>
      <c r="K30" s="2">
        <f t="shared" si="2"/>
        <v>0.12150094558029996</v>
      </c>
      <c r="L30" s="2">
        <f t="shared" si="3"/>
        <v>0.07484859526906211</v>
      </c>
      <c r="M30" s="2">
        <f t="shared" si="4"/>
        <v>0.6924954715331769</v>
      </c>
      <c r="N30" s="2">
        <f t="shared" si="5"/>
        <v>0.8421926620713012</v>
      </c>
      <c r="O30" s="2">
        <f>N30*B3</f>
        <v>3.3687706482852047</v>
      </c>
      <c r="P30" s="18">
        <f t="shared" si="6"/>
        <v>0.05334051724137931</v>
      </c>
      <c r="Q30" s="2">
        <f>O30/B12</f>
        <v>68.62803210463733</v>
      </c>
    </row>
    <row r="31" spans="4:17" ht="12.75">
      <c r="D31" s="15">
        <v>21</v>
      </c>
      <c r="E31" s="1">
        <f>D31*B10</f>
        <v>0.24892241379310343</v>
      </c>
      <c r="F31">
        <f>B4</f>
        <v>0.5</v>
      </c>
      <c r="G31" s="1">
        <f>$B6-E31</f>
        <v>0.5485775862068966</v>
      </c>
      <c r="H31" s="3">
        <f>$B5+E31</f>
        <v>0.4051724137931034</v>
      </c>
      <c r="I31" s="2">
        <f t="shared" si="0"/>
        <v>0.8617036573758038</v>
      </c>
      <c r="J31" s="2">
        <f t="shared" si="1"/>
        <v>0.19634954084936207</v>
      </c>
      <c r="K31" s="2">
        <f t="shared" si="2"/>
        <v>0.1289346420143403</v>
      </c>
      <c r="L31" s="2">
        <f t="shared" si="3"/>
        <v>0.06741489883502177</v>
      </c>
      <c r="M31" s="2">
        <f t="shared" si="4"/>
        <v>0.6982771016665996</v>
      </c>
      <c r="N31" s="2">
        <f t="shared" si="5"/>
        <v>0.8331068993366432</v>
      </c>
      <c r="O31" s="2">
        <f>N31*B3</f>
        <v>3.3324275973465727</v>
      </c>
      <c r="P31" s="18">
        <f t="shared" si="6"/>
        <v>0.04741379310344829</v>
      </c>
      <c r="Q31" s="2">
        <f>O31/B12</f>
        <v>67.88765755053508</v>
      </c>
    </row>
    <row r="32" spans="4:17" ht="12.75">
      <c r="D32" s="15">
        <v>22</v>
      </c>
      <c r="E32" s="1">
        <f>D32*B10</f>
        <v>0.2607758620689655</v>
      </c>
      <c r="F32">
        <f>B4</f>
        <v>0.5</v>
      </c>
      <c r="G32" s="1">
        <f>$B6-E32</f>
        <v>0.5367241379310345</v>
      </c>
      <c r="H32" s="3">
        <f>$B5+E32</f>
        <v>0.4170258620689655</v>
      </c>
      <c r="I32" s="2">
        <f t="shared" si="0"/>
        <v>0.8430843043642263</v>
      </c>
      <c r="J32" s="2">
        <f t="shared" si="1"/>
        <v>0.19634954084936207</v>
      </c>
      <c r="K32" s="2">
        <f t="shared" si="2"/>
        <v>0.13658904198623342</v>
      </c>
      <c r="L32" s="2">
        <f t="shared" si="3"/>
        <v>0.05976049886312865</v>
      </c>
      <c r="M32" s="2">
        <f t="shared" si="4"/>
        <v>0.7031759176486112</v>
      </c>
      <c r="N32" s="2">
        <f t="shared" si="5"/>
        <v>0.8226969153748684</v>
      </c>
      <c r="O32" s="2">
        <f>N32*B3</f>
        <v>3.2907876614994738</v>
      </c>
      <c r="P32" s="18">
        <f t="shared" si="6"/>
        <v>0.04148706896551724</v>
      </c>
      <c r="Q32" s="2">
        <f>O32/B12</f>
        <v>67.03937574316289</v>
      </c>
    </row>
    <row r="33" spans="4:17" ht="12.75">
      <c r="D33" s="15">
        <v>23</v>
      </c>
      <c r="E33" s="1">
        <f>D33*B10</f>
        <v>0.27262931034482757</v>
      </c>
      <c r="F33">
        <f>B4</f>
        <v>0.5</v>
      </c>
      <c r="G33" s="1">
        <f>$B6-E33</f>
        <v>0.5248706896551725</v>
      </c>
      <c r="H33" s="3">
        <f>$B5+E33</f>
        <v>0.42887931034482757</v>
      </c>
      <c r="I33" s="2">
        <f t="shared" si="0"/>
        <v>0.8244649513526491</v>
      </c>
      <c r="J33" s="2">
        <f t="shared" si="1"/>
        <v>0.19634954084936207</v>
      </c>
      <c r="K33" s="2">
        <f t="shared" si="2"/>
        <v>0.14446414549597925</v>
      </c>
      <c r="L33" s="2">
        <f t="shared" si="3"/>
        <v>0.051885395353382824</v>
      </c>
      <c r="M33" s="2">
        <f t="shared" si="4"/>
        <v>0.7071919194792118</v>
      </c>
      <c r="N33" s="2">
        <f t="shared" si="5"/>
        <v>0.8109627101859774</v>
      </c>
      <c r="O33" s="2">
        <f>N33*B3</f>
        <v>3.2438508407439097</v>
      </c>
      <c r="P33" s="18">
        <f t="shared" si="6"/>
        <v>0.035560344827586216</v>
      </c>
      <c r="Q33" s="2">
        <f>O33/B12</f>
        <v>66.0831866825208</v>
      </c>
    </row>
    <row r="34" spans="4:17" ht="12.75">
      <c r="D34" s="15">
        <v>24</v>
      </c>
      <c r="E34" s="1">
        <f>D34*B10</f>
        <v>0.2844827586206896</v>
      </c>
      <c r="F34">
        <f>B4</f>
        <v>0.5</v>
      </c>
      <c r="G34" s="1">
        <f>$B6-E34</f>
        <v>0.5130172413793104</v>
      </c>
      <c r="H34" s="3">
        <f>$B5+E34</f>
        <v>0.4407327586206896</v>
      </c>
      <c r="I34" s="2">
        <f t="shared" si="0"/>
        <v>0.8058455983410715</v>
      </c>
      <c r="J34" s="2">
        <f t="shared" si="1"/>
        <v>0.19634954084936207</v>
      </c>
      <c r="K34" s="2">
        <f t="shared" si="2"/>
        <v>0.15255995254357782</v>
      </c>
      <c r="L34" s="2">
        <f t="shared" si="3"/>
        <v>0.04378958830578425</v>
      </c>
      <c r="M34" s="2">
        <f t="shared" si="4"/>
        <v>0.7103251071584014</v>
      </c>
      <c r="N34" s="2">
        <f t="shared" si="5"/>
        <v>0.7979042837699699</v>
      </c>
      <c r="O34" s="2">
        <f>N34*B3</f>
        <v>3.1916171350798797</v>
      </c>
      <c r="P34" s="18">
        <f t="shared" si="6"/>
        <v>0.029633620689655193</v>
      </c>
      <c r="Q34" s="2">
        <f>O34/B12</f>
        <v>65.0190903686088</v>
      </c>
    </row>
    <row r="35" spans="4:17" ht="12.75">
      <c r="D35" s="15">
        <v>25</v>
      </c>
      <c r="E35" s="1">
        <f>D35*B10</f>
        <v>0.2963362068965517</v>
      </c>
      <c r="F35">
        <f>B4</f>
        <v>0.5</v>
      </c>
      <c r="G35" s="1">
        <f>$B6-E35</f>
        <v>0.5011637931034483</v>
      </c>
      <c r="H35" s="3">
        <f>$B5+E35</f>
        <v>0.4525862068965517</v>
      </c>
      <c r="I35" s="2">
        <f t="shared" si="0"/>
        <v>0.787226245329494</v>
      </c>
      <c r="J35" s="2">
        <f t="shared" si="1"/>
        <v>0.19634954084936207</v>
      </c>
      <c r="K35" s="2">
        <f t="shared" si="2"/>
        <v>0.1608764631290292</v>
      </c>
      <c r="L35" s="2">
        <f t="shared" si="3"/>
        <v>0.03547307772033287</v>
      </c>
      <c r="M35" s="2">
        <f t="shared" si="4"/>
        <v>0.7125754806861799</v>
      </c>
      <c r="N35" s="2">
        <f t="shared" si="5"/>
        <v>0.7835216361268457</v>
      </c>
      <c r="O35" s="2">
        <f>N35*B3</f>
        <v>3.1340865445073827</v>
      </c>
      <c r="P35" s="18">
        <f t="shared" si="6"/>
        <v>0.023706896551724144</v>
      </c>
      <c r="Q35" s="2">
        <f>O35/B12</f>
        <v>63.84708680142687</v>
      </c>
    </row>
    <row r="36" spans="4:17" ht="12.75">
      <c r="D36" s="15">
        <v>26</v>
      </c>
      <c r="E36" s="1">
        <f>D36*B10</f>
        <v>0.30818965517241376</v>
      </c>
      <c r="F36">
        <f>B4</f>
        <v>0.5</v>
      </c>
      <c r="G36" s="1">
        <f>$B6-E36</f>
        <v>0.48931034482758623</v>
      </c>
      <c r="H36" s="3">
        <f>$B5+E36</f>
        <v>0.46443965517241376</v>
      </c>
      <c r="I36" s="2">
        <f t="shared" si="0"/>
        <v>0.7686068923179167</v>
      </c>
      <c r="J36" s="2">
        <f t="shared" si="1"/>
        <v>0.19634954084936207</v>
      </c>
      <c r="K36" s="2">
        <f t="shared" si="2"/>
        <v>0.16941367725233325</v>
      </c>
      <c r="L36" s="2">
        <f t="shared" si="3"/>
        <v>0.02693586359702882</v>
      </c>
      <c r="M36" s="2">
        <f t="shared" si="4"/>
        <v>0.7139430400625475</v>
      </c>
      <c r="N36" s="2">
        <f t="shared" si="5"/>
        <v>0.7678147672566051</v>
      </c>
      <c r="O36" s="2">
        <f>N36*B3</f>
        <v>3.0712590690264205</v>
      </c>
      <c r="P36" s="18">
        <f t="shared" si="6"/>
        <v>0.01778017241379312</v>
      </c>
      <c r="Q36" s="2">
        <f>O36/B12</f>
        <v>62.56717598097503</v>
      </c>
    </row>
    <row r="37" spans="4:17" ht="12.75">
      <c r="D37" s="15">
        <v>27</v>
      </c>
      <c r="E37" s="1">
        <f>D37*B10</f>
        <v>0.32004310344827586</v>
      </c>
      <c r="F37">
        <f>B4</f>
        <v>0.5</v>
      </c>
      <c r="G37" s="1">
        <f>$B6-E37</f>
        <v>0.47745689655172413</v>
      </c>
      <c r="H37" s="3">
        <f>$B5+E37</f>
        <v>0.47629310344827586</v>
      </c>
      <c r="I37" s="2">
        <f t="shared" si="0"/>
        <v>0.7499875393063392</v>
      </c>
      <c r="J37" s="2">
        <f t="shared" si="1"/>
        <v>0.19634954084936207</v>
      </c>
      <c r="K37" s="2">
        <f t="shared" si="2"/>
        <v>0.17817159491349013</v>
      </c>
      <c r="L37" s="2">
        <f t="shared" si="3"/>
        <v>0.018177945935871936</v>
      </c>
      <c r="M37" s="2">
        <f t="shared" si="4"/>
        <v>0.7144277852875041</v>
      </c>
      <c r="N37" s="2">
        <f t="shared" si="5"/>
        <v>0.750783677159248</v>
      </c>
      <c r="O37" s="2">
        <f>N37*B3</f>
        <v>3.003134708636992</v>
      </c>
      <c r="P37" s="18">
        <f t="shared" si="6"/>
        <v>0.011853448275862072</v>
      </c>
      <c r="Q37" s="2">
        <f>O37/B12</f>
        <v>61.17935790725327</v>
      </c>
    </row>
    <row r="38" spans="4:17" ht="12.75">
      <c r="D38" s="15">
        <v>28</v>
      </c>
      <c r="E38" s="1">
        <f>D38*$B$10</f>
        <v>0.3318965517241379</v>
      </c>
      <c r="F38">
        <f>$B$4</f>
        <v>0.5</v>
      </c>
      <c r="G38" s="1">
        <f>$B$6-E38</f>
        <v>0.4656034482758621</v>
      </c>
      <c r="H38" s="3">
        <f>$B$5+E38</f>
        <v>0.4881465517241379</v>
      </c>
      <c r="I38" s="2">
        <f t="shared" si="0"/>
        <v>0.7313681862947617</v>
      </c>
      <c r="J38" s="2">
        <f t="shared" si="1"/>
        <v>0.19634954084936207</v>
      </c>
      <c r="K38" s="2">
        <f t="shared" si="2"/>
        <v>0.1871502161124997</v>
      </c>
      <c r="L38" s="2">
        <f t="shared" si="3"/>
        <v>0.009199324736862358</v>
      </c>
      <c r="M38" s="2">
        <f t="shared" si="4"/>
        <v>0.7140297163610497</v>
      </c>
      <c r="N38" s="2">
        <f t="shared" si="5"/>
        <v>0.7324283658347744</v>
      </c>
      <c r="O38" s="2">
        <f>N38*$B$3</f>
        <v>2.9297134633390978</v>
      </c>
      <c r="P38" s="18">
        <f t="shared" si="6"/>
        <v>0.00592672413793105</v>
      </c>
      <c r="Q38" s="2">
        <f>O38/$B$12</f>
        <v>59.683632580261595</v>
      </c>
    </row>
    <row r="39" spans="1:17" ht="12.75">
      <c r="A39" t="s">
        <v>121</v>
      </c>
      <c r="D39" s="15">
        <v>29</v>
      </c>
      <c r="E39" s="1">
        <f>D39*$B$10</f>
        <v>0.34375</v>
      </c>
      <c r="F39">
        <f>$B$4</f>
        <v>0.5</v>
      </c>
      <c r="G39" s="1">
        <f>$B$6-E39</f>
        <v>0.45375</v>
      </c>
      <c r="H39" s="3">
        <f>$B$5+E39</f>
        <v>0.5</v>
      </c>
      <c r="I39" s="2">
        <f>(F39*(PI())*G39)</f>
        <v>0.7127488332831843</v>
      </c>
      <c r="J39" s="2">
        <f>((F39/2)^2)*PI()</f>
        <v>0.19634954084936207</v>
      </c>
      <c r="K39" s="2">
        <f>((H39/2)^2)*PI()</f>
        <v>0.19634954084936207</v>
      </c>
      <c r="L39" s="2">
        <f>J39-K39</f>
        <v>0</v>
      </c>
      <c r="M39" s="2">
        <f>(H39*PI())*G39</f>
        <v>0.7127488332831843</v>
      </c>
      <c r="N39" s="2">
        <f>(L39*2)+M39</f>
        <v>0.7127488332831843</v>
      </c>
      <c r="O39" s="2">
        <f>N39*$B$3</f>
        <v>2.850995333132737</v>
      </c>
      <c r="P39" s="18">
        <f t="shared" si="6"/>
        <v>0</v>
      </c>
      <c r="Q39" s="2">
        <f>O39/$B$12</f>
        <v>58.08</v>
      </c>
    </row>
    <row r="40" ht="12.75">
      <c r="A40" s="9" t="s">
        <v>74</v>
      </c>
    </row>
    <row r="41" ht="12.75">
      <c r="A41" s="9" t="s">
        <v>148</v>
      </c>
    </row>
    <row r="42" ht="12.75">
      <c r="A42" s="19">
        <v>38515</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Q42"/>
  <sheetViews>
    <sheetView workbookViewId="0" topLeftCell="A1">
      <selection activeCell="C35" sqref="C35"/>
    </sheetView>
  </sheetViews>
  <sheetFormatPr defaultColWidth="9.140625" defaultRowHeight="12.75"/>
  <cols>
    <col min="1" max="1" width="30.28125" style="0" customWidth="1"/>
    <col min="2" max="2" width="19.140625" style="0" customWidth="1"/>
    <col min="3" max="3" width="26.00390625" style="0" customWidth="1"/>
  </cols>
  <sheetData>
    <row r="1" spans="1:4" ht="12.75">
      <c r="A1" s="10" t="s">
        <v>157</v>
      </c>
      <c r="B1" s="11" t="s">
        <v>153</v>
      </c>
      <c r="D1" t="s">
        <v>129</v>
      </c>
    </row>
    <row r="2" ht="12.75">
      <c r="D2" t="s">
        <v>146</v>
      </c>
    </row>
    <row r="3" spans="1:4" ht="12.75">
      <c r="A3" s="7" t="s">
        <v>135</v>
      </c>
      <c r="B3" s="12">
        <v>1</v>
      </c>
      <c r="D3" t="s">
        <v>158</v>
      </c>
    </row>
    <row r="4" spans="1:4" ht="12.75">
      <c r="A4" s="7" t="s">
        <v>136</v>
      </c>
      <c r="B4" s="13">
        <v>1.255</v>
      </c>
      <c r="D4" t="s">
        <v>130</v>
      </c>
    </row>
    <row r="5" spans="1:8" ht="12.75">
      <c r="A5" s="7" t="s">
        <v>137</v>
      </c>
      <c r="B5" s="13">
        <v>0.371</v>
      </c>
      <c r="H5" t="s">
        <v>140</v>
      </c>
    </row>
    <row r="6" spans="1:4" ht="12.75">
      <c r="A6" s="7" t="s">
        <v>138</v>
      </c>
      <c r="B6" s="13">
        <v>3.615</v>
      </c>
      <c r="D6" s="14" t="s">
        <v>147</v>
      </c>
    </row>
    <row r="7" spans="1:14" ht="12.75">
      <c r="A7" s="7" t="s">
        <v>139</v>
      </c>
      <c r="B7" s="12">
        <v>0.304</v>
      </c>
      <c r="L7" t="s">
        <v>126</v>
      </c>
      <c r="M7" t="s">
        <v>127</v>
      </c>
      <c r="N7" t="s">
        <v>132</v>
      </c>
    </row>
    <row r="8" spans="5:17" ht="12.75">
      <c r="E8" t="s">
        <v>124</v>
      </c>
      <c r="F8" t="s">
        <v>118</v>
      </c>
      <c r="G8" t="s">
        <v>103</v>
      </c>
      <c r="H8" t="s">
        <v>111</v>
      </c>
      <c r="I8" t="s">
        <v>109</v>
      </c>
      <c r="J8" t="s">
        <v>112</v>
      </c>
      <c r="K8" t="s">
        <v>114</v>
      </c>
      <c r="L8" t="s">
        <v>112</v>
      </c>
      <c r="M8" t="s">
        <v>115</v>
      </c>
      <c r="N8" t="s">
        <v>116</v>
      </c>
      <c r="O8" t="s">
        <v>119</v>
      </c>
      <c r="P8" t="s">
        <v>122</v>
      </c>
      <c r="Q8" t="s">
        <v>21</v>
      </c>
    </row>
    <row r="9" spans="4:16" ht="12.75">
      <c r="D9" s="15" t="s">
        <v>108</v>
      </c>
      <c r="E9" t="s">
        <v>128</v>
      </c>
      <c r="G9" t="s">
        <v>6</v>
      </c>
      <c r="I9" t="s">
        <v>117</v>
      </c>
      <c r="J9" t="s">
        <v>125</v>
      </c>
      <c r="K9" t="s">
        <v>110</v>
      </c>
      <c r="L9" t="s">
        <v>113</v>
      </c>
      <c r="M9" t="s">
        <v>131</v>
      </c>
      <c r="N9" t="s">
        <v>110</v>
      </c>
      <c r="O9" t="s">
        <v>120</v>
      </c>
      <c r="P9" t="s">
        <v>123</v>
      </c>
    </row>
    <row r="10" spans="1:17" ht="12.75">
      <c r="A10" t="s">
        <v>141</v>
      </c>
      <c r="B10" s="16">
        <f>(($B$4-$B$5))/29</f>
        <v>0.03048275862068965</v>
      </c>
      <c r="C10" s="17" t="s">
        <v>143</v>
      </c>
      <c r="D10" s="15">
        <v>0</v>
      </c>
      <c r="E10" s="1">
        <f>D10*$B$10</f>
        <v>0</v>
      </c>
      <c r="F10">
        <f>B4</f>
        <v>1.255</v>
      </c>
      <c r="G10" s="1">
        <f>$B6-E10</f>
        <v>3.615</v>
      </c>
      <c r="H10" s="3">
        <f>$B5+E10</f>
        <v>0.371</v>
      </c>
      <c r="I10" s="2">
        <f>((F10-E10)*(PI())*G10)</f>
        <v>14.252856090622512</v>
      </c>
      <c r="J10" s="2">
        <f>((F10/2)^2)*PI()</f>
        <v>1.2370217423050658</v>
      </c>
      <c r="K10" s="2">
        <f>((H10/2)^2)*PI()</f>
        <v>0.10810298860818816</v>
      </c>
      <c r="L10" s="2">
        <f>J10-K10</f>
        <v>1.1289187536968777</v>
      </c>
      <c r="M10" s="2">
        <f>(H10*PI())*G10</f>
        <v>4.213394111251755</v>
      </c>
      <c r="N10" s="2">
        <f>(L10*2)+I10+M10</f>
        <v>20.724087709268023</v>
      </c>
      <c r="O10" s="2">
        <f>N10*B3</f>
        <v>20.724087709268023</v>
      </c>
      <c r="P10" s="18">
        <f>(F10-H10)/2</f>
        <v>0.44199999999999995</v>
      </c>
      <c r="Q10" s="2">
        <f>O10/B12</f>
        <v>285.5212084487535</v>
      </c>
    </row>
    <row r="11" spans="1:17" ht="12.75">
      <c r="A11" t="s">
        <v>104</v>
      </c>
      <c r="B11" s="1">
        <f>$O$10</f>
        <v>20.724087709268023</v>
      </c>
      <c r="C11" s="17" t="s">
        <v>144</v>
      </c>
      <c r="D11" s="15">
        <v>1</v>
      </c>
      <c r="E11" s="1">
        <f>D11*B10</f>
        <v>0.03048275862068965</v>
      </c>
      <c r="F11">
        <f>B4</f>
        <v>1.255</v>
      </c>
      <c r="G11" s="1">
        <f>$B6-E11</f>
        <v>3.5845172413793107</v>
      </c>
      <c r="H11" s="3">
        <f>$B5+E11</f>
        <v>0.40148275862068966</v>
      </c>
      <c r="I11" s="2">
        <f aca="true" t="shared" si="0" ref="I11:I39">((F11-E11)*(PI())*G11)</f>
        <v>13.789402574684736</v>
      </c>
      <c r="J11" s="2">
        <f aca="true" t="shared" si="1" ref="J11:J38">((F11/2)^2)*PI()</f>
        <v>1.2370217423050658</v>
      </c>
      <c r="K11" s="2">
        <f aca="true" t="shared" si="2" ref="K11:K38">((H11/2)^2)*PI()</f>
        <v>0.12659707761684907</v>
      </c>
      <c r="L11" s="2">
        <f aca="true" t="shared" si="3" ref="L11:L38">J11-K11</f>
        <v>1.1104246646882168</v>
      </c>
      <c r="M11" s="2">
        <f aca="true" t="shared" si="4" ref="M11:M38">(H11*PI())*G11</f>
        <v>4.521134695645135</v>
      </c>
      <c r="N11" s="2">
        <f aca="true" t="shared" si="5" ref="N11:N39">(L11*2)+I11+M11</f>
        <v>20.531386599706305</v>
      </c>
      <c r="O11" s="2">
        <f>N11*B3</f>
        <v>20.531386599706305</v>
      </c>
      <c r="P11" s="18">
        <f aca="true" t="shared" si="6" ref="P11:P39">(F11-H11)/2</f>
        <v>0.4267586206896551</v>
      </c>
      <c r="Q11" s="2">
        <f>O11/B12</f>
        <v>282.8663145666517</v>
      </c>
    </row>
    <row r="12" spans="1:17" ht="12.75">
      <c r="A12" t="s">
        <v>107</v>
      </c>
      <c r="B12" s="1">
        <f>((B7/2)^2)*PI()</f>
        <v>0.07258335666853857</v>
      </c>
      <c r="C12" s="14" t="s">
        <v>145</v>
      </c>
      <c r="D12" s="15">
        <v>2</v>
      </c>
      <c r="E12" s="1">
        <f>D12*B10</f>
        <v>0.0609655172413793</v>
      </c>
      <c r="F12">
        <f>B4</f>
        <v>1.255</v>
      </c>
      <c r="G12" s="1">
        <f>$B6-E12</f>
        <v>3.5540344827586208</v>
      </c>
      <c r="H12" s="3">
        <f>$B5+E12</f>
        <v>0.4319655172413793</v>
      </c>
      <c r="I12" s="2">
        <f t="shared" si="0"/>
        <v>13.331787385569084</v>
      </c>
      <c r="J12" s="2">
        <f t="shared" si="1"/>
        <v>1.2370217423050658</v>
      </c>
      <c r="K12" s="2">
        <f t="shared" si="2"/>
        <v>0.14655074833104126</v>
      </c>
      <c r="L12" s="2">
        <f t="shared" si="3"/>
        <v>1.0904709939740245</v>
      </c>
      <c r="M12" s="2">
        <f t="shared" si="4"/>
        <v>4.8230369532163895</v>
      </c>
      <c r="N12" s="2">
        <f t="shared" si="5"/>
        <v>20.335766326733523</v>
      </c>
      <c r="O12" s="2">
        <f>N12*B3</f>
        <v>20.335766326733523</v>
      </c>
      <c r="P12" s="18">
        <f t="shared" si="6"/>
        <v>0.4115172413793103</v>
      </c>
      <c r="Q12" s="2">
        <f>O12/B12</f>
        <v>280.1712026022642</v>
      </c>
    </row>
    <row r="13" spans="1:17" ht="12.75">
      <c r="A13" t="s">
        <v>151</v>
      </c>
      <c r="B13" s="1">
        <f>((B5/2)^2)*PI()</f>
        <v>0.10810298860818816</v>
      </c>
      <c r="D13" s="15">
        <v>3</v>
      </c>
      <c r="E13" s="1">
        <f>D13*B10</f>
        <v>0.09144827586206895</v>
      </c>
      <c r="F13">
        <f>B4</f>
        <v>1.255</v>
      </c>
      <c r="G13" s="1">
        <f>$B6-E13</f>
        <v>3.5235517241379313</v>
      </c>
      <c r="H13" s="3">
        <f>$B5+E13</f>
        <v>0.46244827586206894</v>
      </c>
      <c r="I13" s="2">
        <f t="shared" si="0"/>
        <v>12.880010523275558</v>
      </c>
      <c r="J13" s="2">
        <f t="shared" si="1"/>
        <v>1.2370217423050658</v>
      </c>
      <c r="K13" s="2">
        <f t="shared" si="2"/>
        <v>0.16796400075076473</v>
      </c>
      <c r="L13" s="2">
        <f t="shared" si="3"/>
        <v>1.069057741554301</v>
      </c>
      <c r="M13" s="2">
        <f t="shared" si="4"/>
        <v>5.119100883965519</v>
      </c>
      <c r="N13" s="2">
        <f t="shared" si="5"/>
        <v>20.13722689034968</v>
      </c>
      <c r="O13" s="2">
        <f>N13*B3</f>
        <v>20.13722689034968</v>
      </c>
      <c r="P13" s="18">
        <f t="shared" si="6"/>
        <v>0.3962758620689655</v>
      </c>
      <c r="Q13" s="2">
        <f>O13/B12</f>
        <v>277.4358725555911</v>
      </c>
    </row>
    <row r="14" spans="1:17" ht="12.75">
      <c r="A14" t="s">
        <v>152</v>
      </c>
      <c r="B14">
        <f>B13/B12</f>
        <v>1.4893633137119113</v>
      </c>
      <c r="D14" s="15">
        <v>4</v>
      </c>
      <c r="E14" s="1">
        <f>D14*B10</f>
        <v>0.1219310344827586</v>
      </c>
      <c r="F14">
        <f>B4</f>
        <v>1.255</v>
      </c>
      <c r="G14" s="1">
        <f>$B6-E14</f>
        <v>3.4930689655172418</v>
      </c>
      <c r="H14" s="3">
        <f>$B5+E14</f>
        <v>0.4929310344827586</v>
      </c>
      <c r="I14" s="2">
        <f t="shared" si="0"/>
        <v>12.434071987804158</v>
      </c>
      <c r="J14" s="2">
        <f t="shared" si="1"/>
        <v>1.2370217423050658</v>
      </c>
      <c r="K14" s="2">
        <f t="shared" si="2"/>
        <v>0.19083683487601955</v>
      </c>
      <c r="L14" s="2">
        <f t="shared" si="3"/>
        <v>1.0461849074290464</v>
      </c>
      <c r="M14" s="2">
        <f t="shared" si="4"/>
        <v>5.409326487892524</v>
      </c>
      <c r="N14" s="2">
        <f t="shared" si="5"/>
        <v>19.935768290554776</v>
      </c>
      <c r="O14" s="2">
        <f>N14*B3</f>
        <v>19.935768290554776</v>
      </c>
      <c r="P14" s="18">
        <f t="shared" si="6"/>
        <v>0.3810344827586206</v>
      </c>
      <c r="Q14" s="2">
        <f>O14/B12</f>
        <v>274.66032442663237</v>
      </c>
    </row>
    <row r="15" spans="1:17" ht="12.75">
      <c r="A15" t="s">
        <v>105</v>
      </c>
      <c r="B15" s="15">
        <f>$Q$10</f>
        <v>285.5212084487535</v>
      </c>
      <c r="D15" s="15">
        <v>5</v>
      </c>
      <c r="E15" s="1">
        <f>D15*B10</f>
        <v>0.15241379310344827</v>
      </c>
      <c r="F15">
        <f>B4</f>
        <v>1.255</v>
      </c>
      <c r="G15" s="1">
        <f>$B6-E15</f>
        <v>3.462586206896552</v>
      </c>
      <c r="H15" s="3">
        <f>$B5+E15</f>
        <v>0.5234137931034483</v>
      </c>
      <c r="I15" s="2">
        <f t="shared" si="0"/>
        <v>11.99397177915488</v>
      </c>
      <c r="J15" s="2">
        <f t="shared" si="1"/>
        <v>1.2370217423050658</v>
      </c>
      <c r="K15" s="2">
        <f t="shared" si="2"/>
        <v>0.21516925070680568</v>
      </c>
      <c r="L15" s="2">
        <f t="shared" si="3"/>
        <v>1.02185249159826</v>
      </c>
      <c r="M15" s="2">
        <f t="shared" si="4"/>
        <v>5.693713764997403</v>
      </c>
      <c r="N15" s="2">
        <f t="shared" si="5"/>
        <v>19.7313905273488</v>
      </c>
      <c r="O15" s="2">
        <f>N15*B3</f>
        <v>19.7313905273488</v>
      </c>
      <c r="P15" s="18">
        <f t="shared" si="6"/>
        <v>0.3657931034482758</v>
      </c>
      <c r="Q15" s="2">
        <f>O15/B12</f>
        <v>271.84455821538796</v>
      </c>
    </row>
    <row r="16" spans="1:17" ht="12.75">
      <c r="A16" t="s">
        <v>106</v>
      </c>
      <c r="B16" s="15">
        <f>MAX(Q11:Q39)</f>
        <v>282.8663145666517</v>
      </c>
      <c r="D16" s="15">
        <v>6</v>
      </c>
      <c r="E16" s="1">
        <f>D16*B10</f>
        <v>0.1828965517241379</v>
      </c>
      <c r="F16">
        <f>B4</f>
        <v>1.255</v>
      </c>
      <c r="G16" s="1">
        <f>$B6-E16</f>
        <v>3.4321034482758623</v>
      </c>
      <c r="H16" s="3">
        <f>$B5+E16</f>
        <v>0.5538965517241379</v>
      </c>
      <c r="I16" s="2">
        <f t="shared" si="0"/>
        <v>11.55970989732773</v>
      </c>
      <c r="J16" s="2">
        <f t="shared" si="1"/>
        <v>1.2370217423050658</v>
      </c>
      <c r="K16" s="2">
        <f t="shared" si="2"/>
        <v>0.24096124824312307</v>
      </c>
      <c r="L16" s="2">
        <f t="shared" si="3"/>
        <v>0.9960604940619427</v>
      </c>
      <c r="M16" s="2">
        <f t="shared" si="4"/>
        <v>5.972262715280156</v>
      </c>
      <c r="N16" s="2">
        <f t="shared" si="5"/>
        <v>19.52409360073177</v>
      </c>
      <c r="O16" s="2">
        <f>N16*B3</f>
        <v>19.52409360073177</v>
      </c>
      <c r="P16" s="18">
        <f t="shared" si="6"/>
        <v>0.350551724137931</v>
      </c>
      <c r="Q16" s="2">
        <f>O16/B12</f>
        <v>268.98857392185795</v>
      </c>
    </row>
    <row r="17" spans="1:17" ht="12.75">
      <c r="A17" t="s">
        <v>142</v>
      </c>
      <c r="B17" s="15">
        <f>$Q$39</f>
        <v>192.20074445983383</v>
      </c>
      <c r="D17" s="15">
        <v>7</v>
      </c>
      <c r="E17" s="1">
        <f>D17*B10</f>
        <v>0.21337931034482754</v>
      </c>
      <c r="F17">
        <f>B4</f>
        <v>1.255</v>
      </c>
      <c r="G17" s="1">
        <f>$B6-E17</f>
        <v>3.401620689655173</v>
      </c>
      <c r="H17" s="3">
        <f>$B5+E17</f>
        <v>0.5843793103448276</v>
      </c>
      <c r="I17" s="2">
        <f t="shared" si="0"/>
        <v>11.131286342322705</v>
      </c>
      <c r="J17" s="2">
        <f t="shared" si="1"/>
        <v>1.2370217423050658</v>
      </c>
      <c r="K17" s="2">
        <f t="shared" si="2"/>
        <v>0.2682128274849719</v>
      </c>
      <c r="L17" s="2">
        <f t="shared" si="3"/>
        <v>0.9688089148200939</v>
      </c>
      <c r="M17" s="2">
        <f t="shared" si="4"/>
        <v>6.2449733387407855</v>
      </c>
      <c r="N17" s="2">
        <f t="shared" si="5"/>
        <v>19.313877510703676</v>
      </c>
      <c r="O17" s="2">
        <f>N17*B3</f>
        <v>19.313877510703676</v>
      </c>
      <c r="P17" s="18">
        <f t="shared" si="6"/>
        <v>0.33531034482758615</v>
      </c>
      <c r="Q17" s="2">
        <f>O17/B12</f>
        <v>266.09237154604233</v>
      </c>
    </row>
    <row r="18" spans="2:17" ht="12.75">
      <c r="B18" s="1"/>
      <c r="D18" s="15">
        <v>8</v>
      </c>
      <c r="E18" s="1">
        <f>D18*B10</f>
        <v>0.2438620689655172</v>
      </c>
      <c r="F18">
        <f>B4</f>
        <v>1.255</v>
      </c>
      <c r="G18" s="1">
        <f>$B6-E18</f>
        <v>3.371137931034483</v>
      </c>
      <c r="H18" s="3">
        <f>$B5+E18</f>
        <v>0.6148620689655172</v>
      </c>
      <c r="I18" s="2">
        <f t="shared" si="0"/>
        <v>10.708701114139803</v>
      </c>
      <c r="J18" s="2">
        <f t="shared" si="1"/>
        <v>1.2370217423050658</v>
      </c>
      <c r="K18" s="2">
        <f t="shared" si="2"/>
        <v>0.2969239884323519</v>
      </c>
      <c r="L18" s="2">
        <f t="shared" si="3"/>
        <v>0.9400977538727139</v>
      </c>
      <c r="M18" s="2">
        <f t="shared" si="4"/>
        <v>6.511845635379288</v>
      </c>
      <c r="N18" s="2">
        <f t="shared" si="5"/>
        <v>19.10074225726452</v>
      </c>
      <c r="O18" s="2">
        <f>N18*B3</f>
        <v>19.10074225726452</v>
      </c>
      <c r="P18" s="18">
        <f t="shared" si="6"/>
        <v>0.32006896551724134</v>
      </c>
      <c r="Q18" s="2">
        <f>O18/B12</f>
        <v>263.1559510879411</v>
      </c>
    </row>
    <row r="19" spans="1:17" ht="12.75">
      <c r="A19" t="s">
        <v>133</v>
      </c>
      <c r="B19" s="1">
        <f>((B4*3)+B5)/2</f>
        <v>2.0679999999999996</v>
      </c>
      <c r="C19" s="17" t="s">
        <v>150</v>
      </c>
      <c r="D19" s="15">
        <v>9</v>
      </c>
      <c r="E19" s="1">
        <f>D19*B10</f>
        <v>0.2743448275862069</v>
      </c>
      <c r="F19">
        <f>B4</f>
        <v>1.255</v>
      </c>
      <c r="G19" s="1">
        <f>$B6-E19</f>
        <v>3.3406551724137934</v>
      </c>
      <c r="H19" s="3">
        <f>$B5+E19</f>
        <v>0.6453448275862068</v>
      </c>
      <c r="I19" s="2">
        <f t="shared" si="0"/>
        <v>10.29195421277903</v>
      </c>
      <c r="J19" s="2">
        <f t="shared" si="1"/>
        <v>1.2370217423050658</v>
      </c>
      <c r="K19" s="2">
        <f t="shared" si="2"/>
        <v>0.3270947310852632</v>
      </c>
      <c r="L19" s="2">
        <f t="shared" si="3"/>
        <v>0.9099270112198026</v>
      </c>
      <c r="M19" s="2">
        <f t="shared" si="4"/>
        <v>6.772879605195666</v>
      </c>
      <c r="N19" s="2">
        <f t="shared" si="5"/>
        <v>18.8846878404143</v>
      </c>
      <c r="O19" s="2">
        <f>N19*B3</f>
        <v>18.8846878404143</v>
      </c>
      <c r="P19" s="18">
        <f t="shared" si="6"/>
        <v>0.30482758620689654</v>
      </c>
      <c r="Q19" s="2">
        <f>O19/B12</f>
        <v>260.1793125475542</v>
      </c>
    </row>
    <row r="20" spans="4:17" ht="12.75">
      <c r="D20" s="15">
        <v>10</v>
      </c>
      <c r="E20" s="1">
        <f>D20*B10</f>
        <v>0.30482758620689654</v>
      </c>
      <c r="F20">
        <f>B4</f>
        <v>1.255</v>
      </c>
      <c r="G20" s="1">
        <f>$B6-E20</f>
        <v>3.3101724137931035</v>
      </c>
      <c r="H20" s="3">
        <f>$B5+E20</f>
        <v>0.6758275862068965</v>
      </c>
      <c r="I20" s="2">
        <f t="shared" si="0"/>
        <v>9.881045638240378</v>
      </c>
      <c r="J20" s="2">
        <f t="shared" si="1"/>
        <v>1.2370217423050658</v>
      </c>
      <c r="K20" s="2">
        <f t="shared" si="2"/>
        <v>0.3587250554437059</v>
      </c>
      <c r="L20" s="2">
        <f t="shared" si="3"/>
        <v>0.8782966868613599</v>
      </c>
      <c r="M20" s="2">
        <f t="shared" si="4"/>
        <v>7.028075248189918</v>
      </c>
      <c r="N20" s="2">
        <f t="shared" si="5"/>
        <v>18.665714260153017</v>
      </c>
      <c r="O20" s="2">
        <f>N20*B3</f>
        <v>18.665714260153017</v>
      </c>
      <c r="P20" s="18">
        <f t="shared" si="6"/>
        <v>0.2895862068965517</v>
      </c>
      <c r="Q20" s="2">
        <f>O20/B12</f>
        <v>257.16245592488167</v>
      </c>
    </row>
    <row r="21" spans="4:17" ht="12.75">
      <c r="D21" s="15">
        <v>11</v>
      </c>
      <c r="E21" s="1">
        <f>D21*B10</f>
        <v>0.33531034482758615</v>
      </c>
      <c r="F21">
        <f>B4</f>
        <v>1.255</v>
      </c>
      <c r="G21" s="1">
        <f>$B6-E21</f>
        <v>3.279689655172414</v>
      </c>
      <c r="H21" s="3">
        <f>$B5+E21</f>
        <v>0.7063103448275861</v>
      </c>
      <c r="I21" s="2">
        <f t="shared" si="0"/>
        <v>9.475975390523855</v>
      </c>
      <c r="J21" s="2">
        <f t="shared" si="1"/>
        <v>1.2370217423050658</v>
      </c>
      <c r="K21" s="2">
        <f t="shared" si="2"/>
        <v>0.3918149615076799</v>
      </c>
      <c r="L21" s="2">
        <f t="shared" si="3"/>
        <v>0.8452067807973859</v>
      </c>
      <c r="M21" s="2">
        <f t="shared" si="4"/>
        <v>7.277432564362045</v>
      </c>
      <c r="N21" s="2">
        <f t="shared" si="5"/>
        <v>18.44382151648067</v>
      </c>
      <c r="O21" s="2">
        <f>N21*B3</f>
        <v>18.44382151648067</v>
      </c>
      <c r="P21" s="18">
        <f t="shared" si="6"/>
        <v>0.2743448275862069</v>
      </c>
      <c r="Q21" s="2">
        <f>O21/B12</f>
        <v>254.10538121992352</v>
      </c>
    </row>
    <row r="22" spans="4:17" ht="12.75">
      <c r="D22" s="15">
        <v>12</v>
      </c>
      <c r="E22" s="1">
        <f>D22*B10</f>
        <v>0.3657931034482758</v>
      </c>
      <c r="F22">
        <f>B4</f>
        <v>1.255</v>
      </c>
      <c r="G22" s="1">
        <f>$B6-E22</f>
        <v>3.2492068965517245</v>
      </c>
      <c r="H22" s="3">
        <f>$B5+E22</f>
        <v>0.7367931034482758</v>
      </c>
      <c r="I22" s="2">
        <f t="shared" si="0"/>
        <v>9.076743469629458</v>
      </c>
      <c r="J22" s="2">
        <f t="shared" si="1"/>
        <v>1.2370217423050658</v>
      </c>
      <c r="K22" s="2">
        <f t="shared" si="2"/>
        <v>0.42636444927718514</v>
      </c>
      <c r="L22" s="2">
        <f t="shared" si="3"/>
        <v>0.8106572930278806</v>
      </c>
      <c r="M22" s="2">
        <f t="shared" si="4"/>
        <v>7.520951553712048</v>
      </c>
      <c r="N22" s="2">
        <f t="shared" si="5"/>
        <v>18.21900960939727</v>
      </c>
      <c r="O22" s="2">
        <f>N22*B3</f>
        <v>18.21900960939727</v>
      </c>
      <c r="P22" s="18">
        <f t="shared" si="6"/>
        <v>0.25910344827586207</v>
      </c>
      <c r="Q22" s="2">
        <f>O22/B12</f>
        <v>251.00808843267978</v>
      </c>
    </row>
    <row r="23" spans="4:17" ht="12.75">
      <c r="D23" s="15">
        <v>13</v>
      </c>
      <c r="E23" s="1">
        <f>D23*B10</f>
        <v>0.3962758620689655</v>
      </c>
      <c r="F23">
        <f>B4</f>
        <v>1.255</v>
      </c>
      <c r="G23" s="1">
        <f>$B6-E23</f>
        <v>3.2187241379310345</v>
      </c>
      <c r="H23" s="3">
        <f>$B5+E23</f>
        <v>0.7672758620689655</v>
      </c>
      <c r="I23" s="2">
        <f t="shared" si="0"/>
        <v>8.683349875557182</v>
      </c>
      <c r="J23" s="2">
        <f t="shared" si="1"/>
        <v>1.2370217423050658</v>
      </c>
      <c r="K23" s="2">
        <f t="shared" si="2"/>
        <v>0.46237351875222177</v>
      </c>
      <c r="L23" s="2">
        <f t="shared" si="3"/>
        <v>0.774648223552844</v>
      </c>
      <c r="M23" s="2">
        <f t="shared" si="4"/>
        <v>7.758632216239926</v>
      </c>
      <c r="N23" s="2">
        <f t="shared" si="5"/>
        <v>17.991278538902797</v>
      </c>
      <c r="O23" s="2">
        <f>N23*B3</f>
        <v>17.991278538902797</v>
      </c>
      <c r="P23" s="18">
        <f t="shared" si="6"/>
        <v>0.2438620689655172</v>
      </c>
      <c r="Q23" s="2">
        <f>O23/B12</f>
        <v>247.87057756315036</v>
      </c>
    </row>
    <row r="24" spans="4:17" ht="12.75">
      <c r="D24" s="15">
        <v>14</v>
      </c>
      <c r="E24" s="1">
        <f>D24*B10</f>
        <v>0.4267586206896551</v>
      </c>
      <c r="F24">
        <f>B4</f>
        <v>1.255</v>
      </c>
      <c r="G24" s="1">
        <f>$B6-E24</f>
        <v>3.188241379310345</v>
      </c>
      <c r="H24" s="3">
        <f>$B5+E24</f>
        <v>0.7977586206896551</v>
      </c>
      <c r="I24" s="2">
        <f t="shared" si="0"/>
        <v>8.295794608307034</v>
      </c>
      <c r="J24" s="2">
        <f t="shared" si="1"/>
        <v>1.2370217423050658</v>
      </c>
      <c r="K24" s="2">
        <f t="shared" si="2"/>
        <v>0.4998421699327897</v>
      </c>
      <c r="L24" s="2">
        <f t="shared" si="3"/>
        <v>0.737179572372276</v>
      </c>
      <c r="M24" s="2">
        <f t="shared" si="4"/>
        <v>7.9904745519456775</v>
      </c>
      <c r="N24" s="2">
        <f t="shared" si="5"/>
        <v>17.76062830499726</v>
      </c>
      <c r="O24" s="2">
        <f>N24*B3</f>
        <v>17.76062830499726</v>
      </c>
      <c r="P24" s="18">
        <f t="shared" si="6"/>
        <v>0.2286206896551724</v>
      </c>
      <c r="Q24" s="2">
        <f>O24/B12</f>
        <v>244.69284861133528</v>
      </c>
    </row>
    <row r="25" spans="4:17" ht="12.75">
      <c r="D25" s="15">
        <v>15</v>
      </c>
      <c r="E25" s="1">
        <f>D25*B10</f>
        <v>0.45724137931034475</v>
      </c>
      <c r="F25">
        <f>B4</f>
        <v>1.255</v>
      </c>
      <c r="G25" s="1">
        <f>$B6-E25</f>
        <v>3.1577586206896555</v>
      </c>
      <c r="H25" s="3">
        <f>$B5+E25</f>
        <v>0.8282413793103447</v>
      </c>
      <c r="I25" s="2">
        <f t="shared" si="0"/>
        <v>7.914077667879011</v>
      </c>
      <c r="J25" s="2">
        <f t="shared" si="1"/>
        <v>1.2370217423050658</v>
      </c>
      <c r="K25" s="2">
        <f t="shared" si="2"/>
        <v>0.5387704028188889</v>
      </c>
      <c r="L25" s="2">
        <f t="shared" si="3"/>
        <v>0.6982513394861769</v>
      </c>
      <c r="M25" s="2">
        <f t="shared" si="4"/>
        <v>8.216478560829303</v>
      </c>
      <c r="N25" s="2">
        <f t="shared" si="5"/>
        <v>17.52705890768067</v>
      </c>
      <c r="O25" s="2">
        <f>N25*B3</f>
        <v>17.52705890768067</v>
      </c>
      <c r="P25" s="18">
        <f t="shared" si="6"/>
        <v>0.2133793103448276</v>
      </c>
      <c r="Q25" s="2">
        <f>O25/B12</f>
        <v>241.47490157723462</v>
      </c>
    </row>
    <row r="26" spans="4:17" ht="12.75">
      <c r="D26" s="15">
        <v>16</v>
      </c>
      <c r="E26" s="1">
        <f>D26*B10</f>
        <v>0.4877241379310344</v>
      </c>
      <c r="F26">
        <f>B4</f>
        <v>1.255</v>
      </c>
      <c r="G26" s="1">
        <f>$B6-E26</f>
        <v>3.1272758620689656</v>
      </c>
      <c r="H26" s="3">
        <f>$B5+E26</f>
        <v>0.8587241379310344</v>
      </c>
      <c r="I26" s="2">
        <f t="shared" si="0"/>
        <v>7.538199054273112</v>
      </c>
      <c r="J26" s="2">
        <f t="shared" si="1"/>
        <v>1.2370217423050658</v>
      </c>
      <c r="K26" s="2">
        <f t="shared" si="2"/>
        <v>0.5791582174105194</v>
      </c>
      <c r="L26" s="2">
        <f t="shared" si="3"/>
        <v>0.6578635248945464</v>
      </c>
      <c r="M26" s="2">
        <f t="shared" si="4"/>
        <v>8.436644242890806</v>
      </c>
      <c r="N26" s="2">
        <f t="shared" si="5"/>
        <v>17.29057034695301</v>
      </c>
      <c r="O26" s="2">
        <f>N26*B3</f>
        <v>17.29057034695301</v>
      </c>
      <c r="P26" s="18">
        <f t="shared" si="6"/>
        <v>0.19813793103448274</v>
      </c>
      <c r="Q26" s="2">
        <f>O26/B12</f>
        <v>238.21673646084832</v>
      </c>
    </row>
    <row r="27" spans="4:17" ht="12.75">
      <c r="D27" s="15">
        <v>17</v>
      </c>
      <c r="E27" s="1">
        <f>D27*B10</f>
        <v>0.518206896551724</v>
      </c>
      <c r="F27">
        <f>B4</f>
        <v>1.255</v>
      </c>
      <c r="G27" s="1">
        <f>$B6-E27</f>
        <v>3.096793103448276</v>
      </c>
      <c r="H27" s="3">
        <f>$B5+E27</f>
        <v>0.889206896551724</v>
      </c>
      <c r="I27" s="2">
        <f t="shared" si="0"/>
        <v>7.16815876748934</v>
      </c>
      <c r="J27" s="2">
        <f t="shared" si="1"/>
        <v>1.2370217423050658</v>
      </c>
      <c r="K27" s="2">
        <f t="shared" si="2"/>
        <v>0.6210056137076813</v>
      </c>
      <c r="L27" s="2">
        <f t="shared" si="3"/>
        <v>0.6160161285973845</v>
      </c>
      <c r="M27" s="2">
        <f t="shared" si="4"/>
        <v>8.65097159813018</v>
      </c>
      <c r="N27" s="2">
        <f t="shared" si="5"/>
        <v>17.05116262281429</v>
      </c>
      <c r="O27" s="2">
        <f>N27*B3</f>
        <v>17.05116262281429</v>
      </c>
      <c r="P27" s="18">
        <f t="shared" si="6"/>
        <v>0.18289655172413793</v>
      </c>
      <c r="Q27" s="2">
        <f>O27/B12</f>
        <v>234.91835326217637</v>
      </c>
    </row>
    <row r="28" spans="4:17" ht="12.75">
      <c r="D28" s="15">
        <v>18</v>
      </c>
      <c r="E28" s="1">
        <f>D28*B10</f>
        <v>0.5486896551724137</v>
      </c>
      <c r="F28">
        <f>B4</f>
        <v>1.255</v>
      </c>
      <c r="G28" s="1">
        <f>$B6-E28</f>
        <v>3.0663103448275866</v>
      </c>
      <c r="H28" s="3">
        <f>$B5+E28</f>
        <v>0.9196896551724137</v>
      </c>
      <c r="I28" s="2">
        <f t="shared" si="0"/>
        <v>6.803956807527691</v>
      </c>
      <c r="J28" s="2">
        <f t="shared" si="1"/>
        <v>1.2370217423050658</v>
      </c>
      <c r="K28" s="2">
        <f t="shared" si="2"/>
        <v>0.6643125917103745</v>
      </c>
      <c r="L28" s="2">
        <f t="shared" si="3"/>
        <v>0.5727091505946913</v>
      </c>
      <c r="M28" s="2">
        <f t="shared" si="4"/>
        <v>8.859460626547433</v>
      </c>
      <c r="N28" s="2">
        <f t="shared" si="5"/>
        <v>16.80883573526451</v>
      </c>
      <c r="O28" s="2">
        <f>N28*B3</f>
        <v>16.80883573526451</v>
      </c>
      <c r="P28" s="18">
        <f t="shared" si="6"/>
        <v>0.16765517241379307</v>
      </c>
      <c r="Q28" s="2">
        <f>O28/B12</f>
        <v>231.57975198121883</v>
      </c>
    </row>
    <row r="29" spans="4:17" ht="12.75">
      <c r="D29" s="15">
        <v>19</v>
      </c>
      <c r="E29" s="1">
        <f>D29*B10</f>
        <v>0.5791724137931034</v>
      </c>
      <c r="F29">
        <f>B4</f>
        <v>1.255</v>
      </c>
      <c r="G29" s="1">
        <f>$B6-E29</f>
        <v>3.0358275862068966</v>
      </c>
      <c r="H29" s="3">
        <f>$B5+E29</f>
        <v>0.9501724137931034</v>
      </c>
      <c r="I29" s="2">
        <f t="shared" si="0"/>
        <v>6.445593174388168</v>
      </c>
      <c r="J29" s="2">
        <f t="shared" si="1"/>
        <v>1.2370217423050658</v>
      </c>
      <c r="K29" s="2">
        <f t="shared" si="2"/>
        <v>0.7090791514185989</v>
      </c>
      <c r="L29" s="2">
        <f t="shared" si="3"/>
        <v>0.5279425908864669</v>
      </c>
      <c r="M29" s="2">
        <f t="shared" si="4"/>
        <v>9.062111328142556</v>
      </c>
      <c r="N29" s="2">
        <f t="shared" si="5"/>
        <v>16.563589684303658</v>
      </c>
      <c r="O29" s="2">
        <f>N29*B3</f>
        <v>16.563589684303658</v>
      </c>
      <c r="P29" s="18">
        <f t="shared" si="6"/>
        <v>0.15241379310344827</v>
      </c>
      <c r="Q29" s="2">
        <f>O29/B12</f>
        <v>228.20093261797555</v>
      </c>
    </row>
    <row r="30" spans="4:17" ht="12.75">
      <c r="D30" s="15">
        <v>20</v>
      </c>
      <c r="E30" s="1">
        <f>D30*B10</f>
        <v>0.6096551724137931</v>
      </c>
      <c r="F30">
        <f>B4</f>
        <v>1.255</v>
      </c>
      <c r="G30" s="1">
        <f>$B6-E30</f>
        <v>3.005344827586207</v>
      </c>
      <c r="H30" s="3">
        <f>$B5+E30</f>
        <v>0.9806551724137931</v>
      </c>
      <c r="I30" s="2">
        <f t="shared" si="0"/>
        <v>6.093067868070771</v>
      </c>
      <c r="J30" s="2">
        <f t="shared" si="1"/>
        <v>1.2370217423050658</v>
      </c>
      <c r="K30" s="2">
        <f t="shared" si="2"/>
        <v>0.7553052928323548</v>
      </c>
      <c r="L30" s="2">
        <f t="shared" si="3"/>
        <v>0.481716449472711</v>
      </c>
      <c r="M30" s="2">
        <f t="shared" si="4"/>
        <v>9.258923702915558</v>
      </c>
      <c r="N30" s="2">
        <f t="shared" si="5"/>
        <v>16.315424469931752</v>
      </c>
      <c r="O30" s="2">
        <f>N30*B3</f>
        <v>16.315424469931752</v>
      </c>
      <c r="P30" s="18">
        <f t="shared" si="6"/>
        <v>0.1371724137931034</v>
      </c>
      <c r="Q30" s="2">
        <f>O30/B12</f>
        <v>224.78189517244675</v>
      </c>
    </row>
    <row r="31" spans="4:17" ht="12.75">
      <c r="D31" s="15">
        <v>21</v>
      </c>
      <c r="E31" s="1">
        <f>D31*B10</f>
        <v>0.6401379310344827</v>
      </c>
      <c r="F31">
        <f>B4</f>
        <v>1.255</v>
      </c>
      <c r="G31" s="1">
        <f>$B6-E31</f>
        <v>2.9748620689655176</v>
      </c>
      <c r="H31" s="3">
        <f>$B5+E31</f>
        <v>1.0111379310344826</v>
      </c>
      <c r="I31" s="2">
        <f t="shared" si="0"/>
        <v>5.7463808885755</v>
      </c>
      <c r="J31" s="2">
        <f t="shared" si="1"/>
        <v>1.2370217423050658</v>
      </c>
      <c r="K31" s="2">
        <f t="shared" si="2"/>
        <v>0.8029910159516417</v>
      </c>
      <c r="L31" s="2">
        <f t="shared" si="3"/>
        <v>0.4340307263534241</v>
      </c>
      <c r="M31" s="2">
        <f t="shared" si="4"/>
        <v>9.449897750866432</v>
      </c>
      <c r="N31" s="2">
        <f t="shared" si="5"/>
        <v>16.06434009214878</v>
      </c>
      <c r="O31" s="2">
        <f>N31*B3</f>
        <v>16.06434009214878</v>
      </c>
      <c r="P31" s="18">
        <f t="shared" si="6"/>
        <v>0.12193103448275866</v>
      </c>
      <c r="Q31" s="2">
        <f>O31/B12</f>
        <v>221.32263964463226</v>
      </c>
    </row>
    <row r="32" spans="4:17" ht="12.75">
      <c r="D32" s="15">
        <v>22</v>
      </c>
      <c r="E32" s="1">
        <f>D32*B10</f>
        <v>0.6706206896551723</v>
      </c>
      <c r="F32">
        <f>B4</f>
        <v>1.255</v>
      </c>
      <c r="G32" s="1">
        <f>$B6-E32</f>
        <v>2.9443793103448277</v>
      </c>
      <c r="H32" s="3">
        <f>$B5+E32</f>
        <v>1.0416206896551723</v>
      </c>
      <c r="I32" s="2">
        <f t="shared" si="0"/>
        <v>5.405532235902353</v>
      </c>
      <c r="J32" s="2">
        <f t="shared" si="1"/>
        <v>1.2370217423050658</v>
      </c>
      <c r="K32" s="2">
        <f t="shared" si="2"/>
        <v>0.8521363207764602</v>
      </c>
      <c r="L32" s="2">
        <f t="shared" si="3"/>
        <v>0.3848854215286056</v>
      </c>
      <c r="M32" s="2">
        <f t="shared" si="4"/>
        <v>9.635033471995182</v>
      </c>
      <c r="N32" s="2">
        <f t="shared" si="5"/>
        <v>15.810336550954746</v>
      </c>
      <c r="O32" s="2">
        <f>N32*B3</f>
        <v>15.810336550954746</v>
      </c>
      <c r="P32" s="18">
        <f t="shared" si="6"/>
        <v>0.1066896551724138</v>
      </c>
      <c r="Q32" s="2">
        <f>O32/B12</f>
        <v>217.8231660345322</v>
      </c>
    </row>
    <row r="33" spans="4:17" ht="12.75">
      <c r="D33" s="15">
        <v>23</v>
      </c>
      <c r="E33" s="1">
        <f>D33*B10</f>
        <v>0.701103448275862</v>
      </c>
      <c r="F33">
        <f>B4</f>
        <v>1.255</v>
      </c>
      <c r="G33" s="1">
        <f>$B6-E33</f>
        <v>2.913896551724138</v>
      </c>
      <c r="H33" s="3">
        <f>$B5+E33</f>
        <v>1.072103448275862</v>
      </c>
      <c r="I33" s="2">
        <f t="shared" si="0"/>
        <v>5.070521910051331</v>
      </c>
      <c r="J33" s="2">
        <f t="shared" si="1"/>
        <v>1.2370217423050658</v>
      </c>
      <c r="K33" s="2">
        <f t="shared" si="2"/>
        <v>0.90274120730681</v>
      </c>
      <c r="L33" s="2">
        <f t="shared" si="3"/>
        <v>0.33428053499825583</v>
      </c>
      <c r="M33" s="2">
        <f t="shared" si="4"/>
        <v>9.814330866301807</v>
      </c>
      <c r="N33" s="2">
        <f t="shared" si="5"/>
        <v>15.553413846349649</v>
      </c>
      <c r="O33" s="2">
        <f>N33*B3</f>
        <v>15.553413846349649</v>
      </c>
      <c r="P33" s="18">
        <f t="shared" si="6"/>
        <v>0.09144827586206894</v>
      </c>
      <c r="Q33" s="2">
        <f>O33/B12</f>
        <v>214.28347434214643</v>
      </c>
    </row>
    <row r="34" spans="4:17" ht="12.75">
      <c r="D34" s="15">
        <v>24</v>
      </c>
      <c r="E34" s="1">
        <f>D34*B10</f>
        <v>0.7315862068965516</v>
      </c>
      <c r="F34">
        <f>B4</f>
        <v>1.255</v>
      </c>
      <c r="G34" s="1">
        <f>$B6-E34</f>
        <v>2.8834137931034487</v>
      </c>
      <c r="H34" s="3">
        <f>$B5+E34</f>
        <v>1.1025862068965515</v>
      </c>
      <c r="I34" s="2">
        <f t="shared" si="0"/>
        <v>4.741349911022436</v>
      </c>
      <c r="J34" s="2">
        <f t="shared" si="1"/>
        <v>1.2370217423050658</v>
      </c>
      <c r="K34" s="2">
        <f t="shared" si="2"/>
        <v>0.9548056755426908</v>
      </c>
      <c r="L34" s="2">
        <f t="shared" si="3"/>
        <v>0.282216066762375</v>
      </c>
      <c r="M34" s="2">
        <f t="shared" si="4"/>
        <v>9.987789933786306</v>
      </c>
      <c r="N34" s="2">
        <f t="shared" si="5"/>
        <v>15.293571978333492</v>
      </c>
      <c r="O34" s="2">
        <f>N34*B3</f>
        <v>15.293571978333492</v>
      </c>
      <c r="P34" s="18">
        <f t="shared" si="6"/>
        <v>0.07620689655172419</v>
      </c>
      <c r="Q34" s="2">
        <f>O34/B12</f>
        <v>210.7035645674751</v>
      </c>
    </row>
    <row r="35" spans="4:17" ht="12.75">
      <c r="D35" s="15">
        <v>25</v>
      </c>
      <c r="E35" s="1">
        <f>D35*B10</f>
        <v>0.7620689655172412</v>
      </c>
      <c r="F35">
        <f>B4</f>
        <v>1.255</v>
      </c>
      <c r="G35" s="1">
        <f>$B6-E35</f>
        <v>2.8529310344827588</v>
      </c>
      <c r="H35" s="3">
        <f>$B5+E35</f>
        <v>1.1330689655172412</v>
      </c>
      <c r="I35" s="2">
        <f t="shared" si="0"/>
        <v>4.418016238815664</v>
      </c>
      <c r="J35" s="2">
        <f t="shared" si="1"/>
        <v>1.2370217423050658</v>
      </c>
      <c r="K35" s="2">
        <f t="shared" si="2"/>
        <v>1.0083297254841033</v>
      </c>
      <c r="L35" s="2">
        <f t="shared" si="3"/>
        <v>0.22869201682096252</v>
      </c>
      <c r="M35" s="2">
        <f t="shared" si="4"/>
        <v>10.15541067444868</v>
      </c>
      <c r="N35" s="2">
        <f t="shared" si="5"/>
        <v>15.030810946906268</v>
      </c>
      <c r="O35" s="2">
        <f>N35*B3</f>
        <v>15.030810946906268</v>
      </c>
      <c r="P35" s="18">
        <f t="shared" si="6"/>
        <v>0.06096551724137933</v>
      </c>
      <c r="Q35" s="2">
        <f>O35/B12</f>
        <v>207.08343671051807</v>
      </c>
    </row>
    <row r="36" spans="4:17" ht="12.75">
      <c r="D36" s="15">
        <v>26</v>
      </c>
      <c r="E36" s="1">
        <f>D36*B10</f>
        <v>0.792551724137931</v>
      </c>
      <c r="F36">
        <f>B4</f>
        <v>1.255</v>
      </c>
      <c r="G36" s="1">
        <f>$B6-E36</f>
        <v>2.8224482758620693</v>
      </c>
      <c r="H36" s="3">
        <f>$B5+E36</f>
        <v>1.163551724137931</v>
      </c>
      <c r="I36" s="2">
        <f t="shared" si="0"/>
        <v>4.100520893431018</v>
      </c>
      <c r="J36" s="2">
        <f t="shared" si="1"/>
        <v>1.2370217423050658</v>
      </c>
      <c r="K36" s="2">
        <f t="shared" si="2"/>
        <v>1.063313357131047</v>
      </c>
      <c r="L36" s="2">
        <f t="shared" si="3"/>
        <v>0.17370838517401888</v>
      </c>
      <c r="M36" s="2">
        <f t="shared" si="4"/>
        <v>10.31719308828893</v>
      </c>
      <c r="N36" s="2">
        <f t="shared" si="5"/>
        <v>14.765130752067986</v>
      </c>
      <c r="O36" s="2">
        <f>N36*B3</f>
        <v>14.765130752067986</v>
      </c>
      <c r="P36" s="18">
        <f t="shared" si="6"/>
        <v>0.04572413793103447</v>
      </c>
      <c r="Q36" s="2">
        <f>O36/B12</f>
        <v>203.42309077127547</v>
      </c>
    </row>
    <row r="37" spans="4:17" ht="12.75">
      <c r="D37" s="15">
        <v>27</v>
      </c>
      <c r="E37" s="1">
        <f>D37*B10</f>
        <v>0.8230344827586206</v>
      </c>
      <c r="F37">
        <f>B4</f>
        <v>1.255</v>
      </c>
      <c r="G37" s="1">
        <f>$B6-E37</f>
        <v>2.7919655172413798</v>
      </c>
      <c r="H37" s="3">
        <f>$B5+E37</f>
        <v>1.1940344827586205</v>
      </c>
      <c r="I37" s="2">
        <f t="shared" si="0"/>
        <v>3.7888638748684977</v>
      </c>
      <c r="J37" s="2">
        <f t="shared" si="1"/>
        <v>1.2370217423050658</v>
      </c>
      <c r="K37" s="2">
        <f t="shared" si="2"/>
        <v>1.1197565704835217</v>
      </c>
      <c r="L37" s="2">
        <f t="shared" si="3"/>
        <v>0.11726517182154406</v>
      </c>
      <c r="M37" s="2">
        <f t="shared" si="4"/>
        <v>10.473137175307052</v>
      </c>
      <c r="N37" s="2">
        <f t="shared" si="5"/>
        <v>14.496531393818637</v>
      </c>
      <c r="O37" s="2">
        <f>N37*B3</f>
        <v>14.496531393818637</v>
      </c>
      <c r="P37" s="18">
        <f t="shared" si="6"/>
        <v>0.03048275862068972</v>
      </c>
      <c r="Q37" s="2">
        <f>O37/B12</f>
        <v>199.7225267497472</v>
      </c>
    </row>
    <row r="38" spans="4:17" ht="12.75">
      <c r="D38" s="15">
        <v>28</v>
      </c>
      <c r="E38" s="1">
        <f>D38*$B$10</f>
        <v>0.8535172413793102</v>
      </c>
      <c r="F38">
        <f>$B$4</f>
        <v>1.255</v>
      </c>
      <c r="G38" s="1">
        <f>$B$6-E38</f>
        <v>2.76148275862069</v>
      </c>
      <c r="H38" s="3">
        <f>$B$5+E38</f>
        <v>1.2245172413793102</v>
      </c>
      <c r="I38" s="2">
        <f t="shared" si="0"/>
        <v>3.483045183128103</v>
      </c>
      <c r="J38" s="2">
        <f t="shared" si="1"/>
        <v>1.2370217423050658</v>
      </c>
      <c r="K38" s="2">
        <f t="shared" si="2"/>
        <v>1.177659365541528</v>
      </c>
      <c r="L38" s="2">
        <f t="shared" si="3"/>
        <v>0.05936237676353784</v>
      </c>
      <c r="M38" s="2">
        <f t="shared" si="4"/>
        <v>10.62324293550305</v>
      </c>
      <c r="N38" s="2">
        <f t="shared" si="5"/>
        <v>14.22501287215823</v>
      </c>
      <c r="O38" s="2">
        <f>N38*$B$3</f>
        <v>14.22501287215823</v>
      </c>
      <c r="P38" s="18">
        <f t="shared" si="6"/>
        <v>0.01524137931034486</v>
      </c>
      <c r="Q38" s="2">
        <f>O38/$B$12</f>
        <v>195.98174464593333</v>
      </c>
    </row>
    <row r="39" spans="1:17" ht="12.75">
      <c r="A39" t="s">
        <v>121</v>
      </c>
      <c r="D39" s="15">
        <v>29</v>
      </c>
      <c r="E39" s="1">
        <f>D39*$B$10</f>
        <v>0.8839999999999999</v>
      </c>
      <c r="F39">
        <f>$B$4</f>
        <v>1.255</v>
      </c>
      <c r="G39" s="1">
        <f>$B$6-E39</f>
        <v>2.7310000000000003</v>
      </c>
      <c r="H39" s="3">
        <f>$B$5+E39</f>
        <v>1.255</v>
      </c>
      <c r="I39" s="2">
        <f t="shared" si="0"/>
        <v>3.1830648182098322</v>
      </c>
      <c r="J39" s="2">
        <f>((F39/2)^2)*PI()</f>
        <v>1.2370217423050658</v>
      </c>
      <c r="K39" s="2">
        <f>((H39/2)^2)*PI()</f>
        <v>1.2370217423050658</v>
      </c>
      <c r="L39" s="2">
        <f>J39-K39</f>
        <v>0</v>
      </c>
      <c r="M39" s="2">
        <f>(H39*PI())*G39</f>
        <v>10.767510368876925</v>
      </c>
      <c r="N39" s="2">
        <f t="shared" si="5"/>
        <v>13.950575187086757</v>
      </c>
      <c r="O39" s="2">
        <f>N39*$B$3</f>
        <v>13.950575187086757</v>
      </c>
      <c r="P39" s="18">
        <f t="shared" si="6"/>
        <v>0</v>
      </c>
      <c r="Q39" s="2">
        <f>O39/$B$12</f>
        <v>192.20074445983383</v>
      </c>
    </row>
    <row r="40" ht="12.75">
      <c r="A40" s="9" t="s">
        <v>74</v>
      </c>
    </row>
    <row r="41" ht="12.75">
      <c r="A41" s="9" t="s">
        <v>148</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r:id="rId4"/>
  <drawing r:id="rId3"/>
</worksheet>
</file>

<file path=xl/worksheets/sheet6.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80</v>
      </c>
    </row>
    <row r="11" spans="1:5" ht="12.75">
      <c r="A11" t="s">
        <v>66</v>
      </c>
      <c r="D11">
        <v>1.24</v>
      </c>
      <c r="E11" t="s">
        <v>43</v>
      </c>
    </row>
    <row r="12" ht="12.75">
      <c r="A12" t="s">
        <v>65</v>
      </c>
    </row>
    <row r="13" ht="12.75">
      <c r="A13" t="s">
        <v>68</v>
      </c>
    </row>
    <row r="17" ht="12.75">
      <c r="A17" t="s">
        <v>81</v>
      </c>
    </row>
    <row r="18" spans="1:5" ht="12.75">
      <c r="A18" t="s">
        <v>82</v>
      </c>
      <c r="B18" t="s">
        <v>83</v>
      </c>
      <c r="C18" t="s">
        <v>84</v>
      </c>
      <c r="D18" t="s">
        <v>85</v>
      </c>
      <c r="E18" t="s">
        <v>86</v>
      </c>
    </row>
    <row r="19" spans="1:5" ht="12.75">
      <c r="A19" t="s">
        <v>87</v>
      </c>
      <c r="B19">
        <v>5</v>
      </c>
      <c r="C19">
        <v>6.875</v>
      </c>
      <c r="D19">
        <v>8.75</v>
      </c>
      <c r="E19">
        <v>12.5</v>
      </c>
    </row>
    <row r="20" spans="1:5" ht="12.75">
      <c r="A20" t="s">
        <v>88</v>
      </c>
      <c r="B20">
        <f>B19-1.25</f>
        <v>3.75</v>
      </c>
      <c r="C20">
        <f>C19-1.25</f>
        <v>5.625</v>
      </c>
      <c r="D20">
        <f>D19-1.25</f>
        <v>7.5</v>
      </c>
      <c r="E20">
        <f>E19-1.25</f>
        <v>11.25</v>
      </c>
    </row>
    <row r="21" spans="1:5" ht="12.75">
      <c r="A21" t="s">
        <v>89</v>
      </c>
      <c r="B21">
        <f>B19-1.375</f>
        <v>3.625</v>
      </c>
      <c r="C21">
        <f>C19-1.375</f>
        <v>5.5</v>
      </c>
      <c r="D21">
        <f>D19-1.375</f>
        <v>7.375</v>
      </c>
      <c r="E21">
        <f>E19-1.375</f>
        <v>11.125</v>
      </c>
    </row>
    <row r="22" spans="1:10" ht="12.75">
      <c r="A22" t="s">
        <v>90</v>
      </c>
      <c r="B22">
        <f>B19+1.0625</f>
        <v>6.0625</v>
      </c>
      <c r="C22">
        <f>C19+1.0625</f>
        <v>7.9375</v>
      </c>
      <c r="D22">
        <f>D19+1.0625</f>
        <v>9.8125</v>
      </c>
      <c r="E22">
        <f>E19+1.0625</f>
        <v>13.5625</v>
      </c>
      <c r="J22" t="s">
        <v>63</v>
      </c>
    </row>
    <row r="23" spans="1:5" ht="12.75">
      <c r="A23" t="s">
        <v>91</v>
      </c>
      <c r="B23">
        <f>B19+0.6875</f>
        <v>5.6875</v>
      </c>
      <c r="C23">
        <f>C19+0.6875</f>
        <v>7.5625</v>
      </c>
      <c r="D23">
        <f>D19+0.6875</f>
        <v>9.4375</v>
      </c>
      <c r="E23">
        <f>E19+0.6875</f>
        <v>13.1875</v>
      </c>
    </row>
    <row r="28" ht="12.75">
      <c r="A28" t="s">
        <v>92</v>
      </c>
    </row>
    <row r="29" spans="1:2" ht="12.75">
      <c r="A29" t="s">
        <v>93</v>
      </c>
      <c r="B29" t="s">
        <v>94</v>
      </c>
    </row>
    <row r="30" spans="1:2" ht="12.75">
      <c r="A30" t="s">
        <v>95</v>
      </c>
      <c r="B30" t="s">
        <v>96</v>
      </c>
    </row>
    <row r="31" spans="1:2" ht="12.75">
      <c r="A31" t="s">
        <v>97</v>
      </c>
      <c r="B31" t="s">
        <v>98</v>
      </c>
    </row>
    <row r="32" spans="1:2" ht="12.75">
      <c r="A32" t="s">
        <v>99</v>
      </c>
      <c r="B32" t="s">
        <v>100</v>
      </c>
    </row>
    <row r="35" spans="1:3" ht="12.75">
      <c r="A35" t="s">
        <v>154</v>
      </c>
      <c r="B35">
        <f>0.178*3.1416</f>
        <v>0.5592048</v>
      </c>
      <c r="C35" t="s">
        <v>155</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2006-12-11T02:24:04Z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